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spese_annue">Input!$B$5</definedName>
    <definedName name="moltiplicatore">Input!$B$6</definedName>
    <definedName name="capitale_iniziale">Input!$B$7</definedName>
    <definedName name="pac_mensile">Input!$B$8</definedName>
    <definedName name="rendimento_netto_pct">Input!$B$9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 &quot;€&quot;"/>
    <numFmt numFmtId="165" formatCode="0.00&quot;%&quot;"/>
    <numFmt numFmtId="166" formatCode="0.0%"/>
    <numFmt numFmtId="167" formatCode="0.0&quot; anni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4"/>
    </font>
    <font>
      <name val="Calibri"/>
      <i val="1"/>
      <color rgb="006B7280"/>
      <sz val="9"/>
    </font>
    <font>
      <name val="Calibri"/>
      <b val="1"/>
      <color rgb="0014213D"/>
      <sz val="13"/>
    </font>
    <font>
      <name val="Consolas"/>
      <color rgb="001A295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10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8E1"/>
        <bgColor rgb="00FFF8E1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left" vertical="center" wrapText="1" indent="1"/>
    </xf>
    <xf numFmtId="0" fontId="6" fillId="5" borderId="1" applyAlignment="1" pivotButton="0" quotePrefix="0" xfId="0">
      <alignment horizontal="left" vertical="top" wrapText="1" indent="1"/>
    </xf>
    <xf numFmtId="0" fontId="4" fillId="0" borderId="0" applyAlignment="1" pivotButton="0" quotePrefix="0" xfId="0">
      <alignment horizontal="left" vertical="top" wrapText="1" indent="1"/>
    </xf>
    <xf numFmtId="0" fontId="4" fillId="6" borderId="1" applyAlignment="1" pivotButton="0" quotePrefix="0" xfId="0">
      <alignment horizontal="left" vertical="top" wrapText="1" indent="1"/>
    </xf>
    <xf numFmtId="0" fontId="7" fillId="3" borderId="0" applyAlignment="1" pivotButton="0" quotePrefix="0" xfId="0">
      <alignment horizontal="center" vertical="center" wrapText="1"/>
    </xf>
    <xf numFmtId="0" fontId="8" fillId="2" borderId="2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left" vertical="center" wrapText="1" indent="1"/>
    </xf>
    <xf numFmtId="164" fontId="3" fillId="7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top" wrapText="1" indent="1"/>
    </xf>
    <xf numFmtId="1" fontId="3" fillId="7" borderId="1" applyAlignment="1" pivotButton="0" quotePrefix="0" xfId="0">
      <alignment horizontal="center" vertical="center" wrapText="1"/>
    </xf>
    <xf numFmtId="165" fontId="3" fillId="7" borderId="1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0" fillId="0" borderId="2" applyAlignment="1" pivotButton="0" quotePrefix="0" xfId="0">
      <alignment horizontal="right" vertical="center" indent="1"/>
    </xf>
    <xf numFmtId="164" fontId="11" fillId="0" borderId="2" applyAlignment="1" pivotButton="0" quotePrefix="0" xfId="0">
      <alignment horizontal="right" vertical="center" indent="1"/>
    </xf>
    <xf numFmtId="166" fontId="11" fillId="0" borderId="2" applyAlignment="1" pivotButton="0" quotePrefix="0" xfId="0">
      <alignment horizontal="right" vertical="center" indent="1"/>
    </xf>
    <xf numFmtId="0" fontId="10" fillId="8" borderId="2" applyAlignment="1" pivotButton="0" quotePrefix="0" xfId="0">
      <alignment horizontal="center" vertical="center" wrapText="1"/>
    </xf>
    <xf numFmtId="164" fontId="10" fillId="8" borderId="2" applyAlignment="1" pivotButton="0" quotePrefix="0" xfId="0">
      <alignment horizontal="right" vertical="center" indent="1"/>
    </xf>
    <xf numFmtId="164" fontId="11" fillId="8" borderId="2" applyAlignment="1" pivotButton="0" quotePrefix="0" xfId="0">
      <alignment horizontal="right" vertical="center" indent="1"/>
    </xf>
    <xf numFmtId="166" fontId="11" fillId="8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4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167" fontId="15" fillId="9" borderId="0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4" fontId="16" fillId="0" borderId="3" applyAlignment="1" pivotButton="0" quotePrefix="0" xfId="0">
      <alignment horizontal="right" vertical="center" indent="1"/>
    </xf>
    <xf numFmtId="1" fontId="16" fillId="0" borderId="3" applyAlignment="1" pivotButton="0" quotePrefix="0" xfId="0">
      <alignment horizontal="right" vertical="center" indent="1"/>
    </xf>
    <xf numFmtId="167" fontId="16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'Calcolo'!B4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'Calcolo'!$B$5:$B$54</f>
            </numRef>
          </val>
        </ser>
        <ser>
          <idx val="1"/>
          <order val="1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'Calcolo'!$C$5:$C$54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20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FIRE italianizzato — libertà finanziaria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il tuo numero FIRE non è 1 milione. È 30× le spese annue.</t>
        </is>
      </c>
    </row>
    <row r="5" ht="8" customHeight="1"/>
    <row r="6">
      <c r="A6" s="4" t="inlineStr">
        <is>
          <t>Spendi €30.000/anno? Ti serve €900.000 in patrimonio investito (30× italianizzato, Pedone-style) per vivere di rendita. Versando €800/mese partendo da €50.000 a 35 anni, ci arrivi a 67. Tutti i numeri si modificano nel tab 'Input'.
💡 Rendimento netto in input = REALE (al netto inflazione). Spese in € di oggi.</t>
        </is>
      </c>
    </row>
    <row r="7"/>
    <row r="8"/>
    <row r="9" ht="12" customHeight="1"/>
    <row r="10" ht="30" customHeight="1">
      <c r="A10" s="5" t="inlineStr">
        <is>
          <t>➊ Le formule applicate</t>
        </is>
      </c>
    </row>
    <row r="11">
      <c r="A11" s="6" t="inlineStr">
        <is>
          <t>Capitale FIRE target:
  =Spese_annue × Moltiplicatore
  Moltiplicatore tipico: 25× (Trinity Study USA, Bengen 1994), 30× (italianizzato
  Pedone — più conservativo per inflazione + tassazione + bear market).
Anni necessari per raggiungerlo (con capitale_iniziale + PAC + rendimento netto):
  =NPER(rate_mensile, -PAC, -capitale_iniziale, FIRE_target) / 12
Rendita 4% Trinity Study (Bengen 1994): prelevando il 4% del capitale all'anno,
indicizzato per inflazione, capitale dura 30+ anni con probabilità &gt;95%.</t>
        </is>
      </c>
    </row>
    <row r="12"/>
    <row r="13"/>
    <row r="14"/>
    <row r="15"/>
    <row r="16"/>
    <row r="17" ht="12" customHeight="1"/>
    <row r="18" ht="30" customHeight="1">
      <c r="A18" s="5" t="inlineStr">
        <is>
          <t>➋ Perché 30× e non 25× in Italia</t>
        </is>
      </c>
    </row>
    <row r="19">
      <c r="A19" s="7" t="inlineStr">
        <is>
          <t>Trinity Study (1994) e successivi (Bengen, Cooley) usano 25× (4% withdrawal rate) su mercato USA con S&amp;P 500 + Treasury bonds. Il 4% rate ha probabilità ~95% di durare 30 anni. Per l'Italia conviene un coefficiente più conservativo (30× = 3,3% withdrawal): inflazione storica più alta, tassazione capital gain 26% vs 15-20% USA long-term, ETF UCITS hanno bollo 0,2%/anno aggiuntivo, sequenza rendimenti meno favorevoli per investitore EUR.
Nota nominal vs real: il rendimento 4,5% in input è inteso REALE (al netto inflazione). Le spese annue restano in € di oggi. Se inserisci un rendimento nominale, somma 2% di inflazione attesa al moltiplicatore (es. 30× → 35×).</t>
        </is>
      </c>
    </row>
    <row r="20"/>
    <row r="21"/>
    <row r="22"/>
    <row r="23"/>
    <row r="24" ht="12" customHeight="1"/>
    <row r="25" ht="30" customHeight="1">
      <c r="A25" s="5" t="inlineStr">
        <is>
          <t>➌ Da numero a piano: i 3 step operativi</t>
        </is>
      </c>
    </row>
    <row r="26">
      <c r="A26" s="8" t="inlineStr">
        <is>
          <t>1. VERIFICA SPESE REALI — scarica 12 mesi di estratto conto, classifica fisse vs variabili. Le 'spese annue' in input devono essere sostenibili in pensione, non aspirazionali.
2. ASSET ALLOCATION DINAMICA — 60-80% azionario in accumulo, scendi a 40-50% nei 5 anni pre-FIRE. Glide path riduce sequence-of-returns risk.
3. BUFFER LIQUIDITÀ 2-3 ANNI — alla data FIRE, 2-3× spese annue in conto deposito/ETF monetari. Permette di non vendere azionario in bear market.</t>
        </is>
      </c>
    </row>
    <row r="27"/>
    <row r="28"/>
    <row r="29"/>
    <row r="30"/>
    <row r="31"/>
    <row r="32" ht="12" customHeight="1"/>
    <row r="33" ht="28" customHeight="1">
      <c r="A33" s="9" t="inlineStr">
        <is>
          <t>🌐  didiertommasi.com    📩  Newsletter settimanale    📊  Materiale educativo  ·  Non consulenza personalizzata</t>
        </is>
      </c>
    </row>
  </sheetData>
  <mergeCells count="11">
    <mergeCell ref="A2:F2"/>
    <mergeCell ref="A11:F16"/>
    <mergeCell ref="A33:F33"/>
    <mergeCell ref="A10:F10"/>
    <mergeCell ref="A19:F23"/>
    <mergeCell ref="A6:F8"/>
    <mergeCell ref="A1:F1"/>
    <mergeCell ref="A18:F18"/>
    <mergeCell ref="A4:F4"/>
    <mergeCell ref="A26:F31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'Risultato' si aggiorna automaticamente.</t>
        </is>
      </c>
    </row>
    <row r="3" ht="18" customHeight="1"/>
    <row r="4" ht="28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Note</t>
        </is>
      </c>
    </row>
    <row r="5" ht="30" customHeight="1">
      <c r="A5" s="11" t="inlineStr">
        <is>
          <t>Spese annuali medie</t>
        </is>
      </c>
      <c r="B5" s="12" t="n">
        <v>30000</v>
      </c>
      <c r="C5" s="13" t="inlineStr">
        <is>
          <t>€ — quanto spendi all'anno tutto incluso (casa, cibo, viaggi, salute)</t>
        </is>
      </c>
    </row>
    <row r="6" ht="30" customHeight="1">
      <c r="A6" s="11" t="inlineStr">
        <is>
          <t>Moltiplicatore FIRE</t>
        </is>
      </c>
      <c r="B6" s="14" t="n">
        <v>30</v>
      </c>
      <c r="C6" s="13" t="inlineStr">
        <is>
          <t>× — 25× (Trinity 4%), 30× (italianizzato 3,3%, Pedone-style), 33× ultra-conservativo</t>
        </is>
      </c>
    </row>
    <row r="7" ht="30" customHeight="1">
      <c r="A7" s="11" t="inlineStr">
        <is>
          <t>Capitale già investito</t>
        </is>
      </c>
      <c r="B7" s="12" t="n">
        <v>50000</v>
      </c>
      <c r="C7" s="13" t="inlineStr">
        <is>
          <t>€ — quanto hai già in ETF/fondi pensione/altre forme</t>
        </is>
      </c>
    </row>
    <row r="8" ht="30" customHeight="1">
      <c r="A8" s="11" t="inlineStr">
        <is>
          <t>PAC mensile</t>
        </is>
      </c>
      <c r="B8" s="12" t="n">
        <v>800</v>
      </c>
      <c r="C8" s="13" t="inlineStr">
        <is>
          <t>€ — quanto puoi versare ogni mese</t>
        </is>
      </c>
    </row>
    <row r="9" ht="30" customHeight="1">
      <c r="A9" s="11" t="inlineStr">
        <is>
          <t>Rendimento netto atteso</t>
        </is>
      </c>
      <c r="B9" s="15" t="n">
        <v>4.5</v>
      </c>
      <c r="C9" s="13" t="inlineStr">
        <is>
          <t>% annuo NETTO — post tasse + costi (real ~3-4% per portafoglio bilanciato)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18" customWidth="1" min="4" max="4"/>
  </cols>
  <sheetData>
    <row r="1" ht="42" customHeight="1">
      <c r="A1" s="1" t="inlineStr">
        <is>
          <t>🧮  Calcolo — anno per anno verso FIRE</t>
        </is>
      </c>
    </row>
    <row r="2" ht="22" customHeight="1">
      <c r="A2" s="2" t="inlineStr">
        <is>
          <t>Crescita capitale + tracker progress verso FIRE target.</t>
        </is>
      </c>
    </row>
    <row r="3" ht="12" customHeight="1"/>
    <row r="4" ht="32" customHeight="1">
      <c r="A4" s="10" t="inlineStr">
        <is>
          <t>Anno</t>
        </is>
      </c>
      <c r="B4" s="10" t="inlineStr">
        <is>
          <t>Capitale fine anno</t>
        </is>
      </c>
      <c r="C4" s="10" t="inlineStr">
        <is>
          <t>FIRE target (fisso)</t>
        </is>
      </c>
      <c r="D4" s="10" t="inlineStr">
        <is>
          <t>% completamento</t>
        </is>
      </c>
    </row>
    <row r="5">
      <c r="A5" s="16" t="n">
        <v>1</v>
      </c>
      <c r="B5" s="17">
        <f>FV(rendimento_netto_pct/100/12,1*12,-pac_mensile,-capitale_iniziale)</f>
        <v/>
      </c>
      <c r="C5" s="18">
        <f>spese_annue*moltiplicatore</f>
        <v/>
      </c>
      <c r="D5" s="19">
        <f>B5/C5</f>
        <v/>
      </c>
    </row>
    <row r="6">
      <c r="A6" s="20" t="n">
        <v>2</v>
      </c>
      <c r="B6" s="21">
        <f>FV(rendimento_netto_pct/100/12,2*12,-pac_mensile,-capitale_iniziale)</f>
        <v/>
      </c>
      <c r="C6" s="22">
        <f>spese_annue*moltiplicatore</f>
        <v/>
      </c>
      <c r="D6" s="23">
        <f>B6/C6</f>
        <v/>
      </c>
    </row>
    <row r="7">
      <c r="A7" s="16" t="n">
        <v>3</v>
      </c>
      <c r="B7" s="17">
        <f>FV(rendimento_netto_pct/100/12,3*12,-pac_mensile,-capitale_iniziale)</f>
        <v/>
      </c>
      <c r="C7" s="18">
        <f>spese_annue*moltiplicatore</f>
        <v/>
      </c>
      <c r="D7" s="19">
        <f>B7/C7</f>
        <v/>
      </c>
    </row>
    <row r="8">
      <c r="A8" s="20" t="n">
        <v>4</v>
      </c>
      <c r="B8" s="21">
        <f>FV(rendimento_netto_pct/100/12,4*12,-pac_mensile,-capitale_iniziale)</f>
        <v/>
      </c>
      <c r="C8" s="22">
        <f>spese_annue*moltiplicatore</f>
        <v/>
      </c>
      <c r="D8" s="23">
        <f>B8/C8</f>
        <v/>
      </c>
    </row>
    <row r="9">
      <c r="A9" s="16" t="n">
        <v>5</v>
      </c>
      <c r="B9" s="17">
        <f>FV(rendimento_netto_pct/100/12,5*12,-pac_mensile,-capitale_iniziale)</f>
        <v/>
      </c>
      <c r="C9" s="18">
        <f>spese_annue*moltiplicatore</f>
        <v/>
      </c>
      <c r="D9" s="19">
        <f>B9/C9</f>
        <v/>
      </c>
    </row>
    <row r="10">
      <c r="A10" s="20" t="n">
        <v>6</v>
      </c>
      <c r="B10" s="21">
        <f>FV(rendimento_netto_pct/100/12,6*12,-pac_mensile,-capitale_iniziale)</f>
        <v/>
      </c>
      <c r="C10" s="22">
        <f>spese_annue*moltiplicatore</f>
        <v/>
      </c>
      <c r="D10" s="23">
        <f>B10/C10</f>
        <v/>
      </c>
    </row>
    <row r="11">
      <c r="A11" s="16" t="n">
        <v>7</v>
      </c>
      <c r="B11" s="17">
        <f>FV(rendimento_netto_pct/100/12,7*12,-pac_mensile,-capitale_iniziale)</f>
        <v/>
      </c>
      <c r="C11" s="18">
        <f>spese_annue*moltiplicatore</f>
        <v/>
      </c>
      <c r="D11" s="19">
        <f>B11/C11</f>
        <v/>
      </c>
    </row>
    <row r="12">
      <c r="A12" s="20" t="n">
        <v>8</v>
      </c>
      <c r="B12" s="21">
        <f>FV(rendimento_netto_pct/100/12,8*12,-pac_mensile,-capitale_iniziale)</f>
        <v/>
      </c>
      <c r="C12" s="22">
        <f>spese_annue*moltiplicatore</f>
        <v/>
      </c>
      <c r="D12" s="23">
        <f>B12/C12</f>
        <v/>
      </c>
    </row>
    <row r="13">
      <c r="A13" s="16" t="n">
        <v>9</v>
      </c>
      <c r="B13" s="17">
        <f>FV(rendimento_netto_pct/100/12,9*12,-pac_mensile,-capitale_iniziale)</f>
        <v/>
      </c>
      <c r="C13" s="18">
        <f>spese_annue*moltiplicatore</f>
        <v/>
      </c>
      <c r="D13" s="19">
        <f>B13/C13</f>
        <v/>
      </c>
    </row>
    <row r="14">
      <c r="A14" s="20" t="n">
        <v>10</v>
      </c>
      <c r="B14" s="21">
        <f>FV(rendimento_netto_pct/100/12,10*12,-pac_mensile,-capitale_iniziale)</f>
        <v/>
      </c>
      <c r="C14" s="22">
        <f>spese_annue*moltiplicatore</f>
        <v/>
      </c>
      <c r="D14" s="23">
        <f>B14/C14</f>
        <v/>
      </c>
    </row>
    <row r="15">
      <c r="A15" s="16" t="n">
        <v>11</v>
      </c>
      <c r="B15" s="17">
        <f>FV(rendimento_netto_pct/100/12,11*12,-pac_mensile,-capitale_iniziale)</f>
        <v/>
      </c>
      <c r="C15" s="18">
        <f>spese_annue*moltiplicatore</f>
        <v/>
      </c>
      <c r="D15" s="19">
        <f>B15/C15</f>
        <v/>
      </c>
    </row>
    <row r="16">
      <c r="A16" s="20" t="n">
        <v>12</v>
      </c>
      <c r="B16" s="21">
        <f>FV(rendimento_netto_pct/100/12,12*12,-pac_mensile,-capitale_iniziale)</f>
        <v/>
      </c>
      <c r="C16" s="22">
        <f>spese_annue*moltiplicatore</f>
        <v/>
      </c>
      <c r="D16" s="23">
        <f>B16/C16</f>
        <v/>
      </c>
    </row>
    <row r="17">
      <c r="A17" s="16" t="n">
        <v>13</v>
      </c>
      <c r="B17" s="17">
        <f>FV(rendimento_netto_pct/100/12,13*12,-pac_mensile,-capitale_iniziale)</f>
        <v/>
      </c>
      <c r="C17" s="18">
        <f>spese_annue*moltiplicatore</f>
        <v/>
      </c>
      <c r="D17" s="19">
        <f>B17/C17</f>
        <v/>
      </c>
    </row>
    <row r="18">
      <c r="A18" s="20" t="n">
        <v>14</v>
      </c>
      <c r="B18" s="21">
        <f>FV(rendimento_netto_pct/100/12,14*12,-pac_mensile,-capitale_iniziale)</f>
        <v/>
      </c>
      <c r="C18" s="22">
        <f>spese_annue*moltiplicatore</f>
        <v/>
      </c>
      <c r="D18" s="23">
        <f>B18/C18</f>
        <v/>
      </c>
    </row>
    <row r="19">
      <c r="A19" s="16" t="n">
        <v>15</v>
      </c>
      <c r="B19" s="17">
        <f>FV(rendimento_netto_pct/100/12,15*12,-pac_mensile,-capitale_iniziale)</f>
        <v/>
      </c>
      <c r="C19" s="18">
        <f>spese_annue*moltiplicatore</f>
        <v/>
      </c>
      <c r="D19" s="19">
        <f>B19/C19</f>
        <v/>
      </c>
    </row>
    <row r="20">
      <c r="A20" s="20" t="n">
        <v>16</v>
      </c>
      <c r="B20" s="21">
        <f>FV(rendimento_netto_pct/100/12,16*12,-pac_mensile,-capitale_iniziale)</f>
        <v/>
      </c>
      <c r="C20" s="22">
        <f>spese_annue*moltiplicatore</f>
        <v/>
      </c>
      <c r="D20" s="23">
        <f>B20/C20</f>
        <v/>
      </c>
    </row>
    <row r="21">
      <c r="A21" s="16" t="n">
        <v>17</v>
      </c>
      <c r="B21" s="17">
        <f>FV(rendimento_netto_pct/100/12,17*12,-pac_mensile,-capitale_iniziale)</f>
        <v/>
      </c>
      <c r="C21" s="18">
        <f>spese_annue*moltiplicatore</f>
        <v/>
      </c>
      <c r="D21" s="19">
        <f>B21/C21</f>
        <v/>
      </c>
    </row>
    <row r="22">
      <c r="A22" s="20" t="n">
        <v>18</v>
      </c>
      <c r="B22" s="21">
        <f>FV(rendimento_netto_pct/100/12,18*12,-pac_mensile,-capitale_iniziale)</f>
        <v/>
      </c>
      <c r="C22" s="22">
        <f>spese_annue*moltiplicatore</f>
        <v/>
      </c>
      <c r="D22" s="23">
        <f>B22/C22</f>
        <v/>
      </c>
    </row>
    <row r="23">
      <c r="A23" s="16" t="n">
        <v>19</v>
      </c>
      <c r="B23" s="17">
        <f>FV(rendimento_netto_pct/100/12,19*12,-pac_mensile,-capitale_iniziale)</f>
        <v/>
      </c>
      <c r="C23" s="18">
        <f>spese_annue*moltiplicatore</f>
        <v/>
      </c>
      <c r="D23" s="19">
        <f>B23/C23</f>
        <v/>
      </c>
    </row>
    <row r="24">
      <c r="A24" s="20" t="n">
        <v>20</v>
      </c>
      <c r="B24" s="21">
        <f>FV(rendimento_netto_pct/100/12,20*12,-pac_mensile,-capitale_iniziale)</f>
        <v/>
      </c>
      <c r="C24" s="22">
        <f>spese_annue*moltiplicatore</f>
        <v/>
      </c>
      <c r="D24" s="23">
        <f>B24/C24</f>
        <v/>
      </c>
    </row>
    <row r="25">
      <c r="A25" s="16" t="n">
        <v>21</v>
      </c>
      <c r="B25" s="17">
        <f>FV(rendimento_netto_pct/100/12,21*12,-pac_mensile,-capitale_iniziale)</f>
        <v/>
      </c>
      <c r="C25" s="18">
        <f>spese_annue*moltiplicatore</f>
        <v/>
      </c>
      <c r="D25" s="19">
        <f>B25/C25</f>
        <v/>
      </c>
    </row>
    <row r="26">
      <c r="A26" s="20" t="n">
        <v>22</v>
      </c>
      <c r="B26" s="21">
        <f>FV(rendimento_netto_pct/100/12,22*12,-pac_mensile,-capitale_iniziale)</f>
        <v/>
      </c>
      <c r="C26" s="22">
        <f>spese_annue*moltiplicatore</f>
        <v/>
      </c>
      <c r="D26" s="23">
        <f>B26/C26</f>
        <v/>
      </c>
    </row>
    <row r="27">
      <c r="A27" s="16" t="n">
        <v>23</v>
      </c>
      <c r="B27" s="17">
        <f>FV(rendimento_netto_pct/100/12,23*12,-pac_mensile,-capitale_iniziale)</f>
        <v/>
      </c>
      <c r="C27" s="18">
        <f>spese_annue*moltiplicatore</f>
        <v/>
      </c>
      <c r="D27" s="19">
        <f>B27/C27</f>
        <v/>
      </c>
    </row>
    <row r="28">
      <c r="A28" s="20" t="n">
        <v>24</v>
      </c>
      <c r="B28" s="21">
        <f>FV(rendimento_netto_pct/100/12,24*12,-pac_mensile,-capitale_iniziale)</f>
        <v/>
      </c>
      <c r="C28" s="22">
        <f>spese_annue*moltiplicatore</f>
        <v/>
      </c>
      <c r="D28" s="23">
        <f>B28/C28</f>
        <v/>
      </c>
    </row>
    <row r="29">
      <c r="A29" s="16" t="n">
        <v>25</v>
      </c>
      <c r="B29" s="17">
        <f>FV(rendimento_netto_pct/100/12,25*12,-pac_mensile,-capitale_iniziale)</f>
        <v/>
      </c>
      <c r="C29" s="18">
        <f>spese_annue*moltiplicatore</f>
        <v/>
      </c>
      <c r="D29" s="19">
        <f>B29/C29</f>
        <v/>
      </c>
    </row>
    <row r="30">
      <c r="A30" s="20" t="n">
        <v>26</v>
      </c>
      <c r="B30" s="21">
        <f>FV(rendimento_netto_pct/100/12,26*12,-pac_mensile,-capitale_iniziale)</f>
        <v/>
      </c>
      <c r="C30" s="22">
        <f>spese_annue*moltiplicatore</f>
        <v/>
      </c>
      <c r="D30" s="23">
        <f>B30/C30</f>
        <v/>
      </c>
    </row>
    <row r="31">
      <c r="A31" s="16" t="n">
        <v>27</v>
      </c>
      <c r="B31" s="17">
        <f>FV(rendimento_netto_pct/100/12,27*12,-pac_mensile,-capitale_iniziale)</f>
        <v/>
      </c>
      <c r="C31" s="18">
        <f>spese_annue*moltiplicatore</f>
        <v/>
      </c>
      <c r="D31" s="19">
        <f>B31/C31</f>
        <v/>
      </c>
    </row>
    <row r="32">
      <c r="A32" s="20" t="n">
        <v>28</v>
      </c>
      <c r="B32" s="21">
        <f>FV(rendimento_netto_pct/100/12,28*12,-pac_mensile,-capitale_iniziale)</f>
        <v/>
      </c>
      <c r="C32" s="22">
        <f>spese_annue*moltiplicatore</f>
        <v/>
      </c>
      <c r="D32" s="23">
        <f>B32/C32</f>
        <v/>
      </c>
    </row>
    <row r="33">
      <c r="A33" s="16" t="n">
        <v>29</v>
      </c>
      <c r="B33" s="17">
        <f>FV(rendimento_netto_pct/100/12,29*12,-pac_mensile,-capitale_iniziale)</f>
        <v/>
      </c>
      <c r="C33" s="18">
        <f>spese_annue*moltiplicatore</f>
        <v/>
      </c>
      <c r="D33" s="19">
        <f>B33/C33</f>
        <v/>
      </c>
    </row>
    <row r="34">
      <c r="A34" s="20" t="n">
        <v>30</v>
      </c>
      <c r="B34" s="21">
        <f>FV(rendimento_netto_pct/100/12,30*12,-pac_mensile,-capitale_iniziale)</f>
        <v/>
      </c>
      <c r="C34" s="22">
        <f>spese_annue*moltiplicatore</f>
        <v/>
      </c>
      <c r="D34" s="23">
        <f>B34/C34</f>
        <v/>
      </c>
    </row>
    <row r="35">
      <c r="A35" s="16" t="n">
        <v>31</v>
      </c>
      <c r="B35" s="17">
        <f>FV(rendimento_netto_pct/100/12,31*12,-pac_mensile,-capitale_iniziale)</f>
        <v/>
      </c>
      <c r="C35" s="18">
        <f>spese_annue*moltiplicatore</f>
        <v/>
      </c>
      <c r="D35" s="19">
        <f>B35/C35</f>
        <v/>
      </c>
    </row>
    <row r="36">
      <c r="A36" s="20" t="n">
        <v>32</v>
      </c>
      <c r="B36" s="21">
        <f>FV(rendimento_netto_pct/100/12,32*12,-pac_mensile,-capitale_iniziale)</f>
        <v/>
      </c>
      <c r="C36" s="22">
        <f>spese_annue*moltiplicatore</f>
        <v/>
      </c>
      <c r="D36" s="23">
        <f>B36/C36</f>
        <v/>
      </c>
    </row>
    <row r="37">
      <c r="A37" s="16" t="n">
        <v>33</v>
      </c>
      <c r="B37" s="17">
        <f>FV(rendimento_netto_pct/100/12,33*12,-pac_mensile,-capitale_iniziale)</f>
        <v/>
      </c>
      <c r="C37" s="18">
        <f>spese_annue*moltiplicatore</f>
        <v/>
      </c>
      <c r="D37" s="19">
        <f>B37/C37</f>
        <v/>
      </c>
    </row>
    <row r="38">
      <c r="A38" s="20" t="n">
        <v>34</v>
      </c>
      <c r="B38" s="21">
        <f>FV(rendimento_netto_pct/100/12,34*12,-pac_mensile,-capitale_iniziale)</f>
        <v/>
      </c>
      <c r="C38" s="22">
        <f>spese_annue*moltiplicatore</f>
        <v/>
      </c>
      <c r="D38" s="23">
        <f>B38/C38</f>
        <v/>
      </c>
    </row>
    <row r="39">
      <c r="A39" s="16" t="n">
        <v>35</v>
      </c>
      <c r="B39" s="17">
        <f>FV(rendimento_netto_pct/100/12,35*12,-pac_mensile,-capitale_iniziale)</f>
        <v/>
      </c>
      <c r="C39" s="18">
        <f>spese_annue*moltiplicatore</f>
        <v/>
      </c>
      <c r="D39" s="19">
        <f>B39/C39</f>
        <v/>
      </c>
    </row>
    <row r="40">
      <c r="A40" s="20" t="n">
        <v>36</v>
      </c>
      <c r="B40" s="21">
        <f>FV(rendimento_netto_pct/100/12,36*12,-pac_mensile,-capitale_iniziale)</f>
        <v/>
      </c>
      <c r="C40" s="22">
        <f>spese_annue*moltiplicatore</f>
        <v/>
      </c>
      <c r="D40" s="23">
        <f>B40/C40</f>
        <v/>
      </c>
    </row>
    <row r="41">
      <c r="A41" s="16" t="n">
        <v>37</v>
      </c>
      <c r="B41" s="17">
        <f>FV(rendimento_netto_pct/100/12,37*12,-pac_mensile,-capitale_iniziale)</f>
        <v/>
      </c>
      <c r="C41" s="18">
        <f>spese_annue*moltiplicatore</f>
        <v/>
      </c>
      <c r="D41" s="19">
        <f>B41/C41</f>
        <v/>
      </c>
    </row>
    <row r="42">
      <c r="A42" s="20" t="n">
        <v>38</v>
      </c>
      <c r="B42" s="21">
        <f>FV(rendimento_netto_pct/100/12,38*12,-pac_mensile,-capitale_iniziale)</f>
        <v/>
      </c>
      <c r="C42" s="22">
        <f>spese_annue*moltiplicatore</f>
        <v/>
      </c>
      <c r="D42" s="23">
        <f>B42/C42</f>
        <v/>
      </c>
    </row>
    <row r="43">
      <c r="A43" s="16" t="n">
        <v>39</v>
      </c>
      <c r="B43" s="17">
        <f>FV(rendimento_netto_pct/100/12,39*12,-pac_mensile,-capitale_iniziale)</f>
        <v/>
      </c>
      <c r="C43" s="18">
        <f>spese_annue*moltiplicatore</f>
        <v/>
      </c>
      <c r="D43" s="19">
        <f>B43/C43</f>
        <v/>
      </c>
    </row>
    <row r="44">
      <c r="A44" s="20" t="n">
        <v>40</v>
      </c>
      <c r="B44" s="21">
        <f>FV(rendimento_netto_pct/100/12,40*12,-pac_mensile,-capitale_iniziale)</f>
        <v/>
      </c>
      <c r="C44" s="22">
        <f>spese_annue*moltiplicatore</f>
        <v/>
      </c>
      <c r="D44" s="23">
        <f>B44/C44</f>
        <v/>
      </c>
    </row>
    <row r="45">
      <c r="A45" s="16" t="n">
        <v>41</v>
      </c>
      <c r="B45" s="17">
        <f>FV(rendimento_netto_pct/100/12,41*12,-pac_mensile,-capitale_iniziale)</f>
        <v/>
      </c>
      <c r="C45" s="18">
        <f>spese_annue*moltiplicatore</f>
        <v/>
      </c>
      <c r="D45" s="19">
        <f>B45/C45</f>
        <v/>
      </c>
    </row>
    <row r="46">
      <c r="A46" s="20" t="n">
        <v>42</v>
      </c>
      <c r="B46" s="21">
        <f>FV(rendimento_netto_pct/100/12,42*12,-pac_mensile,-capitale_iniziale)</f>
        <v/>
      </c>
      <c r="C46" s="22">
        <f>spese_annue*moltiplicatore</f>
        <v/>
      </c>
      <c r="D46" s="23">
        <f>B46/C46</f>
        <v/>
      </c>
    </row>
    <row r="47">
      <c r="A47" s="16" t="n">
        <v>43</v>
      </c>
      <c r="B47" s="17">
        <f>FV(rendimento_netto_pct/100/12,43*12,-pac_mensile,-capitale_iniziale)</f>
        <v/>
      </c>
      <c r="C47" s="18">
        <f>spese_annue*moltiplicatore</f>
        <v/>
      </c>
      <c r="D47" s="19">
        <f>B47/C47</f>
        <v/>
      </c>
    </row>
    <row r="48">
      <c r="A48" s="20" t="n">
        <v>44</v>
      </c>
      <c r="B48" s="21">
        <f>FV(rendimento_netto_pct/100/12,44*12,-pac_mensile,-capitale_iniziale)</f>
        <v/>
      </c>
      <c r="C48" s="22">
        <f>spese_annue*moltiplicatore</f>
        <v/>
      </c>
      <c r="D48" s="23">
        <f>B48/C48</f>
        <v/>
      </c>
    </row>
    <row r="49">
      <c r="A49" s="16" t="n">
        <v>45</v>
      </c>
      <c r="B49" s="17">
        <f>FV(rendimento_netto_pct/100/12,45*12,-pac_mensile,-capitale_iniziale)</f>
        <v/>
      </c>
      <c r="C49" s="18">
        <f>spese_annue*moltiplicatore</f>
        <v/>
      </c>
      <c r="D49" s="19">
        <f>B49/C49</f>
        <v/>
      </c>
    </row>
    <row r="50">
      <c r="A50" s="20" t="n">
        <v>46</v>
      </c>
      <c r="B50" s="21">
        <f>FV(rendimento_netto_pct/100/12,46*12,-pac_mensile,-capitale_iniziale)</f>
        <v/>
      </c>
      <c r="C50" s="22">
        <f>spese_annue*moltiplicatore</f>
        <v/>
      </c>
      <c r="D50" s="23">
        <f>B50/C50</f>
        <v/>
      </c>
    </row>
    <row r="51">
      <c r="A51" s="16" t="n">
        <v>47</v>
      </c>
      <c r="B51" s="17">
        <f>FV(rendimento_netto_pct/100/12,47*12,-pac_mensile,-capitale_iniziale)</f>
        <v/>
      </c>
      <c r="C51" s="18">
        <f>spese_annue*moltiplicatore</f>
        <v/>
      </c>
      <c r="D51" s="19">
        <f>B51/C51</f>
        <v/>
      </c>
    </row>
    <row r="52">
      <c r="A52" s="20" t="n">
        <v>48</v>
      </c>
      <c r="B52" s="21">
        <f>FV(rendimento_netto_pct/100/12,48*12,-pac_mensile,-capitale_iniziale)</f>
        <v/>
      </c>
      <c r="C52" s="22">
        <f>spese_annue*moltiplicatore</f>
        <v/>
      </c>
      <c r="D52" s="23">
        <f>B52/C52</f>
        <v/>
      </c>
    </row>
    <row r="53">
      <c r="A53" s="16" t="n">
        <v>49</v>
      </c>
      <c r="B53" s="17">
        <f>FV(rendimento_netto_pct/100/12,49*12,-pac_mensile,-capitale_iniziale)</f>
        <v/>
      </c>
      <c r="C53" s="18">
        <f>spese_annue*moltiplicatore</f>
        <v/>
      </c>
      <c r="D53" s="19">
        <f>B53/C53</f>
        <v/>
      </c>
    </row>
    <row r="54">
      <c r="A54" s="20" t="n">
        <v>50</v>
      </c>
      <c r="B54" s="21">
        <f>FV(rendimento_netto_pct/100/12,50*12,-pac_mensile,-capitale_iniziale)</f>
        <v/>
      </c>
      <c r="C54" s="22">
        <f>spese_annue*moltiplicatore</f>
        <v/>
      </c>
      <c r="D54" s="23">
        <f>B54/C54</f>
        <v/>
      </c>
    </row>
  </sheetData>
  <mergeCells count="2">
    <mergeCell ref="A1:D1"/>
    <mergeCell ref="A2:D2"/>
  </mergeCells>
  <conditionalFormatting sqref="D5:D54">
    <cfRule type="dataBar" priority="1">
      <dataBar showValue="1">
        <cfvo type="num" val="0"/>
        <cfvo type="num" val="1"/>
        <color rgb="003DDC97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📊  Risultato — il tuo numero FIRE</t>
        </is>
      </c>
    </row>
    <row r="2" ht="16" customHeight="1"/>
    <row r="3">
      <c r="A3" s="24" t="inlineStr">
        <is>
          <t>Capitale necessario per la tua libertà finanziaria</t>
        </is>
      </c>
    </row>
    <row r="4" ht="28" customHeight="1">
      <c r="A4" s="25">
        <f>spese_annue*moltiplicatore</f>
        <v/>
      </c>
    </row>
    <row r="5" ht="28" customHeight="1"/>
    <row r="6" ht="28" customHeight="1"/>
    <row r="7" ht="12" customHeight="1"/>
    <row r="8">
      <c r="A8" s="26" t="inlineStr">
        <is>
          <t>Anni necessari ai tuoi attuali ritmi di risparmio</t>
        </is>
      </c>
    </row>
    <row r="9" ht="32" customHeight="1">
      <c r="A9" s="27">
        <f>NPER(rendimento_netto_pct/100/12,-pac_mensile,-capitale_iniziale,spese_annue*moltiplicatore)/12</f>
        <v/>
      </c>
    </row>
    <row r="10" ht="16" customHeight="1"/>
    <row r="11" ht="30" customHeight="1">
      <c r="A11" s="5" t="inlineStr">
        <is>
          <t>🧾  Riepilogo</t>
        </is>
      </c>
    </row>
    <row r="12" ht="28" customHeight="1">
      <c r="A12" s="28" t="inlineStr">
        <is>
          <t>Spese annue stimate</t>
        </is>
      </c>
      <c r="B12" s="29" t="n"/>
      <c r="C12" s="29" t="n"/>
      <c r="D12" s="29" t="n"/>
      <c r="E12" s="30">
        <f>spese_annue</f>
        <v/>
      </c>
      <c r="F12" s="29" t="n"/>
    </row>
    <row r="13" ht="28" customHeight="1">
      <c r="A13" s="28" t="inlineStr">
        <is>
          <t>Moltiplicatore FIRE</t>
        </is>
      </c>
      <c r="B13" s="29" t="n"/>
      <c r="C13" s="29" t="n"/>
      <c r="D13" s="29" t="n"/>
      <c r="E13" s="31">
        <f>moltiplicatore</f>
        <v/>
      </c>
      <c r="F13" s="29" t="n"/>
    </row>
    <row r="14" ht="28" customHeight="1">
      <c r="A14" s="28" t="inlineStr">
        <is>
          <t>FIRE TARGET (capitale necessario)</t>
        </is>
      </c>
      <c r="B14" s="29" t="n"/>
      <c r="C14" s="29" t="n"/>
      <c r="D14" s="29" t="n"/>
      <c r="E14" s="30">
        <f>spese_annue*moltiplicatore</f>
        <v/>
      </c>
      <c r="F14" s="29" t="n"/>
    </row>
    <row r="15" ht="28" customHeight="1">
      <c r="A15" s="28" t="inlineStr">
        <is>
          <t>Capitale già investito</t>
        </is>
      </c>
      <c r="B15" s="29" t="n"/>
      <c r="C15" s="29" t="n"/>
      <c r="D15" s="29" t="n"/>
      <c r="E15" s="30">
        <f>capitale_iniziale</f>
        <v/>
      </c>
      <c r="F15" s="29" t="n"/>
    </row>
    <row r="16" ht="28" customHeight="1">
      <c r="A16" s="28" t="inlineStr">
        <is>
          <t>PAC mensile</t>
        </is>
      </c>
      <c r="B16" s="29" t="n"/>
      <c r="C16" s="29" t="n"/>
      <c r="D16" s="29" t="n"/>
      <c r="E16" s="30">
        <f>pac_mensile</f>
        <v/>
      </c>
      <c r="F16" s="29" t="n"/>
    </row>
    <row r="17" ht="28" customHeight="1">
      <c r="A17" s="28" t="inlineStr">
        <is>
          <t>Anni necessari per raggiungere FIRE</t>
        </is>
      </c>
      <c r="B17" s="29" t="n"/>
      <c r="C17" s="29" t="n"/>
      <c r="D17" s="29" t="n"/>
      <c r="E17" s="32">
        <f>NPER(rendimento_netto_pct/100/12,-pac_mensile,-capitale_iniziale,spese_annue*moltiplicatore)/12</f>
        <v/>
      </c>
      <c r="F17" s="29" t="n"/>
    </row>
    <row r="18" ht="28" customHeight="1">
      <c r="A18" s="28" t="inlineStr">
        <is>
          <t>Rendita 4% mensile attesa una volta FIRE</t>
        </is>
      </c>
      <c r="B18" s="29" t="n"/>
      <c r="C18" s="29" t="n"/>
      <c r="D18" s="29" t="n"/>
      <c r="E18" s="30">
        <f>spese_annue*moltiplicatore*0.04/12</f>
        <v/>
      </c>
      <c r="F18" s="29" t="n"/>
    </row>
    <row r="19" ht="16" customHeight="1"/>
    <row r="20" ht="28" customHeight="1">
      <c r="A20" s="5" t="inlineStr">
        <is>
          <t>📈  Crescita capitale verso FIRE target</t>
        </is>
      </c>
    </row>
    <row r="44" ht="28" customHeight="1">
      <c r="A44" s="9" t="inlineStr">
        <is>
          <t>🌐  didiertommasi.com    📩  Newsletter settimanale    📊  Materiale educativo  ·  Non consulenza personalizzata</t>
        </is>
      </c>
    </row>
  </sheetData>
  <mergeCells count="22">
    <mergeCell ref="E12:F12"/>
    <mergeCell ref="A17:D17"/>
    <mergeCell ref="E14:F14"/>
    <mergeCell ref="A3:F3"/>
    <mergeCell ref="E17:F17"/>
    <mergeCell ref="A13:D13"/>
    <mergeCell ref="A8:F8"/>
    <mergeCell ref="A15:D15"/>
    <mergeCell ref="E13:F13"/>
    <mergeCell ref="A20:F20"/>
    <mergeCell ref="E15:F15"/>
    <mergeCell ref="A44:F44"/>
    <mergeCell ref="A4:F6"/>
    <mergeCell ref="A9:F9"/>
    <mergeCell ref="A16:D16"/>
    <mergeCell ref="A11:F11"/>
    <mergeCell ref="A18:D18"/>
    <mergeCell ref="E16:F16"/>
    <mergeCell ref="A12:D12"/>
    <mergeCell ref="A1:F1"/>
    <mergeCell ref="E18:F18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2026-04-28T20:37:10Z</dcterms:created>
  <dcterms:modified xsi:type="dcterms:W3CDTF">2026-04-28T20:37:10Z</dcterms:modified>
</cp:coreProperties>
</file>