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eta_oggi">Input!$B$5</definedName>
    <definedName name="reddito_lordo">Input!$B$6</definedName>
    <definedName name="anni_gia_versati">Input!$B$7</definedName>
    <definedName name="crescita_reale_pct">Input!$B$8</definedName>
    <definedName name="versamento_fp_mensile">Input!$B$9</definedName>
    <definedName name="aliquota_contrib">Input!$B$12</definedName>
    <definedName name="coeff_trasf_67">Input!$B$13</definedName>
    <definedName name="cap_reale">Input!$B$14</definedName>
    <definedName name="netto_pensione">Input!$B$15</definedName>
    <definedName name="netto_stipendio">Input!$B$16</definedName>
    <definedName name="rend_fp">Input!$B$17</definedName>
    <definedName name="quota_tfr">Input!$B$18</definedName>
    <definedName name="target_sost">Input!$B$19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€&quot;"/>
    <numFmt numFmtId="165" formatCode="0.00&quot;%&quot;"/>
    <numFmt numFmtId="166" formatCode="0.0%"/>
    <numFmt numFmtId="167" formatCode="0.000%"/>
    <numFmt numFmtId="168" formatCode="0&quot; anni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4"/>
    </font>
    <font>
      <name val="Calibri"/>
      <i val="1"/>
      <color rgb="006B7280"/>
      <sz val="9"/>
    </font>
    <font>
      <name val="Calibri"/>
      <b val="1"/>
      <color rgb="0014213D"/>
      <sz val="13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8E1"/>
        <bgColor rgb="00FFF8E1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left" vertical="center" wrapText="1" indent="1"/>
    </xf>
    <xf numFmtId="0" fontId="6" fillId="5" borderId="1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 indent="1"/>
    </xf>
    <xf numFmtId="0" fontId="4" fillId="6" borderId="1" applyAlignment="1" pivotButton="0" quotePrefix="0" xfId="0">
      <alignment horizontal="left" vertical="top" wrapText="1" indent="1"/>
    </xf>
    <xf numFmtId="0" fontId="7" fillId="3" borderId="0" applyAlignment="1" pivotButton="0" quotePrefix="0" xfId="0">
      <alignment horizontal="center" vertical="center" wrapText="1"/>
    </xf>
    <xf numFmtId="0" fontId="8" fillId="2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left" vertical="center" wrapText="1" indent="1"/>
    </xf>
    <xf numFmtId="1" fontId="3" fillId="7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top" wrapText="1" indent="1"/>
    </xf>
    <xf numFmtId="164" fontId="3" fillId="7" borderId="1" applyAlignment="1" pivotButton="0" quotePrefix="0" xfId="0">
      <alignment horizontal="center" vertical="center" wrapText="1"/>
    </xf>
    <xf numFmtId="165" fontId="3" fillId="7" borderId="1" applyAlignment="1" pivotButton="0" quotePrefix="0" xfId="0">
      <alignment horizontal="center" vertical="center" wrapText="1"/>
    </xf>
    <xf numFmtId="166" fontId="9" fillId="8" borderId="2" applyAlignment="1" pivotButton="0" quotePrefix="0" xfId="0">
      <alignment horizontal="center" vertical="center" wrapText="1"/>
    </xf>
    <xf numFmtId="167" fontId="9" fillId="8" borderId="2" applyAlignment="1" pivotButton="0" quotePrefix="0" xfId="0">
      <alignment horizontal="center" vertical="center" wrapText="1"/>
    </xf>
    <xf numFmtId="9" fontId="9" fillId="8" borderId="2" applyAlignment="1" pivotButton="0" quotePrefix="0" xfId="0">
      <alignment horizontal="center" vertical="center" wrapText="1"/>
    </xf>
    <xf numFmtId="10" fontId="9" fillId="8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1" fillId="0" borderId="2" applyAlignment="1" pivotButton="0" quotePrefix="0" xfId="0">
      <alignment horizontal="right" vertical="center" indent="1"/>
    </xf>
    <xf numFmtId="164" fontId="10" fillId="0" borderId="2" applyAlignment="1" pivotButton="0" quotePrefix="0" xfId="0">
      <alignment horizontal="right" vertical="center" indent="1"/>
    </xf>
    <xf numFmtId="0" fontId="10" fillId="8" borderId="2" applyAlignment="1" pivotButton="0" quotePrefix="0" xfId="0">
      <alignment horizontal="center" vertical="center" wrapText="1"/>
    </xf>
    <xf numFmtId="164" fontId="11" fillId="8" borderId="2" applyAlignment="1" pivotButton="0" quotePrefix="0" xfId="0">
      <alignment horizontal="right" vertical="center" indent="1"/>
    </xf>
    <xf numFmtId="164" fontId="10" fillId="8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4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9" fontId="15" fillId="9" borderId="0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8" fontId="16" fillId="0" borderId="3" applyAlignment="1" pivotButton="0" quotePrefix="0" xfId="0">
      <alignment horizontal="right" vertical="center" indent="1"/>
    </xf>
    <xf numFmtId="164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'Calcolo'!D4</f>
            </strRef>
          </tx>
          <spPr>
            <a:ln>
              <a:prstDash val="solid"/>
            </a:ln>
          </spPr>
          <cat>
            <numRef>
              <f>'Calcolo'!$A$5:$A$46</f>
            </numRef>
          </cat>
          <val>
            <numRef>
              <f>'Calcolo'!$D$5:$D$46</f>
            </numRef>
          </val>
        </ser>
        <ser>
          <idx val="1"/>
          <order val="1"/>
          <tx>
            <strRef>
              <f>'Calcolo'!E4</f>
            </strRef>
          </tx>
          <spPr>
            <a:ln>
              <a:prstDash val="solid"/>
            </a:ln>
          </spPr>
          <cat>
            <numRef>
              <f>'Calcolo'!$A$5:$A$46</f>
            </numRef>
          </cat>
          <val>
            <numRef>
              <f>'Calcolo'!$E$5:$E$46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 carriera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Montante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24</row>
      <rowOff>0</rowOff>
    </from>
    <ext cx="792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Gap pensione INPS — quanto ti darà davvero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la tua pensione contributiva pura sarà il 50-65% dello stipendio.</t>
        </is>
      </c>
    </row>
    <row r="5" ht="8" customHeight="1"/>
    <row r="6">
      <c r="A6" s="4" t="inlineStr">
        <is>
          <t>Hai 35 anni e 35.000€ lordi? La tua pensione INPS netta sarà ~2.300€/m, ma il tuo ultimo stipendio sarà ~2.900€/m: passi al 78% senza fare nulla. Ecco esattamente di quanto sei coperto e quanto versare oggi per chiudere il gap.
💡 I numeri sono tutti in € REALI di oggi (al netto inflazione), basati su capitalizzazione PIL 0,8% reale (media ITA 2004-2024 ISTAT/RGS).</t>
        </is>
      </c>
    </row>
    <row r="7"/>
    <row r="8"/>
    <row r="9" ht="12" customHeight="1"/>
    <row r="10" ht="30" customHeight="1">
      <c r="A10" s="5" t="inlineStr">
        <is>
          <t>➊ Le formule applicate</t>
        </is>
      </c>
    </row>
    <row r="11">
      <c r="A11" s="6" t="inlineStr">
        <is>
          <t>Montante contributivo (sistema puro post-1996):
  Ogni anno si accantona il 33% del reddito lordo (23,81% azienda + 9,19% dipendente),
  capitalizzato al PIL nominale medio degli ultimi 5 anni (qui 0,8% REALE — al netto inflazione,
  media storica Italia 2004-2024 ISTAT/RGS).
Pensione lorda annua = Montante × 0,05575
  (Coefficiente trasformazione a 67 anni — Decreto MLPS 22/05/2024, biennio 2025-2026).
Pensione netta = Lorda × 0,78  (IRPEF + addizionali medie ~22%).
Fondo pensione complementare (TFR + contributo volontario):
  =FV(rendimento_fp/12, anni*12, -versamento_mensile, 0)
  Rendita finale = Capitale × 0,91 / (20 × 12)   ← tassazione 9-15% e durata 20y.</t>
        </is>
      </c>
    </row>
    <row r="12"/>
    <row r="13"/>
    <row r="14"/>
    <row r="15"/>
    <row r="16"/>
    <row r="17"/>
    <row r="18"/>
    <row r="19" ht="12" customHeight="1"/>
    <row r="20" ht="30" customHeight="1">
      <c r="A20" s="5" t="inlineStr">
        <is>
          <t>➋ Cosa NON ti dice il foglio del CAF</t>
        </is>
      </c>
    </row>
    <row r="21">
      <c r="A21" s="7" t="inlineStr">
        <is>
          <t>Il modello contributivo italiano è onesto sulla carta ma punitivo sul lungo: per chi è entrato nel mondo del lavoro dopo il 1996 NON c'è retributivo — solo i contributi versati, capitalizzati ai tassi reali italiani (storicamente bassi), poi convertiti con un coefficiente che si abbassa ogni 2 anni (aspettativa di vita più alta = pensione più bassa). Tasso di sostituzione realistico per un contributivo puro a 67 anni con carriera regolare: 50-65% dell'ultimo stipendio. Per raggiungere il 75% target serve fondo pensione complementare (TFR + versamento volontario) o patrimonio investito autonomo.</t>
        </is>
      </c>
    </row>
    <row r="22"/>
    <row r="23"/>
    <row r="24"/>
    <row r="25"/>
    <row r="26"/>
    <row r="27" ht="12" customHeight="1"/>
    <row r="28" ht="30" customHeight="1">
      <c r="A28" s="5" t="inlineStr">
        <is>
          <t>➌ Da numero a piano: i 3 step operativi</t>
        </is>
      </c>
    </row>
    <row r="29">
      <c r="A29" s="8" t="inlineStr">
        <is>
          <t>1. ESTRATTO CONTO INPS UFFICIALE — accedi a myinps.it (SPID/CIE), scarica l'estratto contributivo. Verifica anni effettivi vs stima e controlla buchi (lavoro estero, disoccupazione, contratti atipici). Spesso emergono 1-3 anni di gap recuperabili.
2. MASSIMIZZA DEDUZIONE FP fino a 5.300€/anno SE IRPEF marginale ≥ 35%. Sotto 28k€ (IRPEF 23%) il vantaggio fiscale è limitato — meglio ETF azionario flessibile.
3. SCEGLI FP NEGOZIALE (ISC ~0,49% medio COVIP). MAI PIP retail (ISC 2,15% medio): su 30 anni, 1,7 punti % di costi composti = -30% capitale finale. Trasferimento PIP→Negoziale gratuito per legge dopo 2 anni (D.Lgs. 252/2005).</t>
        </is>
      </c>
    </row>
    <row r="30"/>
    <row r="31"/>
    <row r="32"/>
    <row r="33"/>
    <row r="34"/>
    <row r="35" ht="12" customHeight="1"/>
    <row r="36" ht="28" customHeight="1">
      <c r="A36" s="9" t="inlineStr">
        <is>
          <t>🌐  didiertommasi.com    📩  Newsletter settimanale    📊  Materiale educativo  ·  Non consulenza personalizzata</t>
        </is>
      </c>
    </row>
  </sheetData>
  <mergeCells count="11">
    <mergeCell ref="A2:F2"/>
    <mergeCell ref="A10:F10"/>
    <mergeCell ref="A28:F28"/>
    <mergeCell ref="A36:F36"/>
    <mergeCell ref="A6:F8"/>
    <mergeCell ref="A1:F1"/>
    <mergeCell ref="A21:F26"/>
    <mergeCell ref="A4:F4"/>
    <mergeCell ref="A20:F20"/>
    <mergeCell ref="A29:F34"/>
    <mergeCell ref="A11:F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Età oggi</t>
        </is>
      </c>
      <c r="B5" s="12" t="n">
        <v>35</v>
      </c>
      <c r="C5" s="13" t="inlineStr">
        <is>
          <t>anni — 25-60. Pensione di vecchiaia: 67 anni</t>
        </is>
      </c>
    </row>
    <row r="6" ht="30" customHeight="1">
      <c r="A6" s="11" t="inlineStr">
        <is>
          <t>Reddito lordo annuo</t>
        </is>
      </c>
      <c r="B6" s="14" t="n">
        <v>35000</v>
      </c>
      <c r="C6" s="13" t="inlineStr">
        <is>
          <t>€ — busta paga lorda CCNL. Mediano dipendente IT ~31.000€</t>
        </is>
      </c>
    </row>
    <row r="7" ht="30" customHeight="1">
      <c r="A7" s="11" t="inlineStr">
        <is>
          <t>Anni contributi già versati</t>
        </is>
      </c>
      <c r="B7" s="12" t="n">
        <v>10</v>
      </c>
      <c r="C7" s="13" t="inlineStr">
        <is>
          <t>anni — controlla estratto conto INPS (post-1996 = contributivo puro)</t>
        </is>
      </c>
    </row>
    <row r="8" ht="30" customHeight="1">
      <c r="A8" s="11" t="inlineStr">
        <is>
          <t>Crescita reale carriera</t>
        </is>
      </c>
      <c r="B8" s="15" t="n">
        <v>1</v>
      </c>
      <c r="C8" s="13" t="inlineStr">
        <is>
          <t>% annuo — al netto inflazione. Media ISTAT IT: 0,8-1,2%</t>
        </is>
      </c>
    </row>
    <row r="9" ht="30" customHeight="1">
      <c r="A9" s="11" t="inlineStr">
        <is>
          <t>Versamento volontario FP</t>
        </is>
      </c>
      <c r="B9" s="14" t="n">
        <v>100</v>
      </c>
      <c r="C9" s="13" t="inlineStr">
        <is>
          <t>€/mese — aggiuntivo al TFR. Limite deduzione: 5.300€/anno (~441€/m)</t>
        </is>
      </c>
    </row>
    <row r="10" ht="16" customHeight="1"/>
    <row r="11" ht="30" customHeight="1">
      <c r="A11" s="5" t="inlineStr">
        <is>
          <t>🧮 Costanti normative (non modificare)</t>
        </is>
      </c>
    </row>
    <row r="12" ht="22" customHeight="1">
      <c r="A12" s="11" t="inlineStr">
        <is>
          <t>Aliquota contributiva INPS</t>
        </is>
      </c>
      <c r="B12" s="16" t="n">
        <v>0.33</v>
      </c>
      <c r="C12" s="13" t="inlineStr">
        <is>
          <t>23,81% azienda + 9,19% dipendente</t>
        </is>
      </c>
    </row>
    <row r="13" ht="22" customHeight="1">
      <c r="A13" s="11" t="inlineStr">
        <is>
          <t>Coefficiente trasformazione 67 anni</t>
        </is>
      </c>
      <c r="B13" s="17" t="n">
        <v>0.05575</v>
      </c>
      <c r="C13" s="13" t="inlineStr">
        <is>
          <t>DM MLPS 22/05/2024, biennio 2025-2026</t>
        </is>
      </c>
    </row>
    <row r="14" ht="22" customHeight="1">
      <c r="A14" s="11" t="inlineStr">
        <is>
          <t>Capitalizzazione reale (PIL)</t>
        </is>
      </c>
      <c r="B14" s="16" t="n">
        <v>0.008</v>
      </c>
      <c r="C14" s="13" t="inlineStr">
        <is>
          <t>Media storica ITA 2004-2024 ISTAT/RGS</t>
        </is>
      </c>
    </row>
    <row r="15" ht="22" customHeight="1">
      <c r="A15" s="11" t="inlineStr">
        <is>
          <t>Netto/Lordo pensione</t>
        </is>
      </c>
      <c r="B15" s="18" t="n">
        <v>0.78</v>
      </c>
      <c r="C15" s="13" t="inlineStr">
        <is>
          <t>IRPEF + addizionali medie ~22%</t>
        </is>
      </c>
    </row>
    <row r="16" ht="22" customHeight="1">
      <c r="A16" s="11" t="inlineStr">
        <is>
          <t>Netto/Lordo stipendio</t>
        </is>
      </c>
      <c r="B16" s="18" t="n">
        <v>0.73</v>
      </c>
      <c r="C16" s="13" t="inlineStr">
        <is>
          <t>IRPEF + contributi dipendente medi ~27%</t>
        </is>
      </c>
    </row>
    <row r="17" ht="22" customHeight="1">
      <c r="A17" s="11" t="inlineStr">
        <is>
          <t>Rendimento netto fondo pensione</t>
        </is>
      </c>
      <c r="B17" s="16" t="n">
        <v>0.04</v>
      </c>
      <c r="C17" s="13" t="inlineStr">
        <is>
          <t>4% netto bilanciato (storico COVIP)</t>
        </is>
      </c>
    </row>
    <row r="18" ht="22" customHeight="1">
      <c r="A18" s="11" t="inlineStr">
        <is>
          <t>Quota TFR (% lordo)</t>
        </is>
      </c>
      <c r="B18" s="19" t="n">
        <v>0.06909999999999999</v>
      </c>
      <c r="C18" s="13" t="inlineStr">
        <is>
          <t>6,91% lordo (Art. 2120 c.c.)</t>
        </is>
      </c>
    </row>
    <row r="19" ht="22" customHeight="1">
      <c r="A19" s="11" t="inlineStr">
        <is>
          <t>Target sostituzione</t>
        </is>
      </c>
      <c r="B19" s="18" t="n">
        <v>0.75</v>
      </c>
      <c r="C19" s="13" t="inlineStr">
        <is>
          <t>75% ultimo stipendio (best practice OCSE)</t>
        </is>
      </c>
    </row>
  </sheetData>
  <mergeCells count="3">
    <mergeCell ref="A1:D1"/>
    <mergeCell ref="A2:D2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24" customWidth="1" min="4" max="4"/>
    <col width="24" customWidth="1" min="5" max="5"/>
  </cols>
  <sheetData>
    <row r="1" ht="42" customHeight="1">
      <c r="A1" s="1" t="inlineStr">
        <is>
          <t>🧮  Calcolo — montante contributivo anno per anno</t>
        </is>
      </c>
    </row>
    <row r="2" ht="22" customHeight="1">
      <c r="A2" s="2" t="inlineStr">
        <is>
          <t>Ricostruzione passato + proiezione futuro fino a 67 anni.</t>
        </is>
      </c>
    </row>
    <row r="3" ht="12" customHeight="1"/>
    <row r="4" ht="32" customHeight="1">
      <c r="A4" s="10" t="inlineStr">
        <is>
          <t>Anno carriera</t>
        </is>
      </c>
      <c r="B4" s="10" t="inlineStr">
        <is>
          <t>Reddito lordo €</t>
        </is>
      </c>
      <c r="C4" s="10" t="inlineStr">
        <is>
          <t>Contributo 33% €</t>
        </is>
      </c>
      <c r="D4" s="10" t="inlineStr">
        <is>
          <t>Montante INPS cumulato €</t>
        </is>
      </c>
      <c r="E4" s="10" t="inlineStr">
        <is>
          <t>Montante FP cumulato €</t>
        </is>
      </c>
    </row>
    <row r="5">
      <c r="A5" s="20" t="n">
        <v>1</v>
      </c>
      <c r="B5" s="21">
        <f>IF(1&lt;=(anni_gia_versati + (67 - eta_oggi)),reddito_lordo*(1+crescita_reale_pct/100)^(1 - anni_gia_versati - 1),0)</f>
        <v/>
      </c>
      <c r="C5" s="21">
        <f>B5*aliquota_contrib</f>
        <v/>
      </c>
      <c r="D5" s="22">
        <f>C5</f>
        <v/>
      </c>
      <c r="E5" s="22">
        <f>IF(1&gt;anni_gia_versati,(B5*quota_tfr/12 + versamento_fp_mensile)*12,0)</f>
        <v/>
      </c>
    </row>
    <row r="6">
      <c r="A6" s="23" t="n">
        <v>2</v>
      </c>
      <c r="B6" s="24">
        <f>IF(2&lt;=(anni_gia_versati + (67 - eta_oggi)),reddito_lordo*(1+crescita_reale_pct/100)^(2 - anni_gia_versati - 1),0)</f>
        <v/>
      </c>
      <c r="C6" s="24">
        <f>B6*aliquota_contrib</f>
        <v/>
      </c>
      <c r="D6" s="25">
        <f>D5*(1+cap_reale)+C6</f>
        <v/>
      </c>
      <c r="E6" s="25">
        <f>IF(2&gt;anni_gia_versati,E5*(1+rend_fp)+(B6*quota_tfr/12 + versamento_fp_mensile)*12,0)</f>
        <v/>
      </c>
    </row>
    <row r="7">
      <c r="A7" s="20" t="n">
        <v>3</v>
      </c>
      <c r="B7" s="21">
        <f>IF(3&lt;=(anni_gia_versati + (67 - eta_oggi)),reddito_lordo*(1+crescita_reale_pct/100)^(3 - anni_gia_versati - 1),0)</f>
        <v/>
      </c>
      <c r="C7" s="21">
        <f>B7*aliquota_contrib</f>
        <v/>
      </c>
      <c r="D7" s="22">
        <f>D6*(1+cap_reale)+C7</f>
        <v/>
      </c>
      <c r="E7" s="22">
        <f>IF(3&gt;anni_gia_versati,E6*(1+rend_fp)+(B7*quota_tfr/12 + versamento_fp_mensile)*12,0)</f>
        <v/>
      </c>
    </row>
    <row r="8">
      <c r="A8" s="23" t="n">
        <v>4</v>
      </c>
      <c r="B8" s="24">
        <f>IF(4&lt;=(anni_gia_versati + (67 - eta_oggi)),reddito_lordo*(1+crescita_reale_pct/100)^(4 - anni_gia_versati - 1),0)</f>
        <v/>
      </c>
      <c r="C8" s="24">
        <f>B8*aliquota_contrib</f>
        <v/>
      </c>
      <c r="D8" s="25">
        <f>D7*(1+cap_reale)+C8</f>
        <v/>
      </c>
      <c r="E8" s="25">
        <f>IF(4&gt;anni_gia_versati,E7*(1+rend_fp)+(B8*quota_tfr/12 + versamento_fp_mensile)*12,0)</f>
        <v/>
      </c>
    </row>
    <row r="9">
      <c r="A9" s="20" t="n">
        <v>5</v>
      </c>
      <c r="B9" s="21">
        <f>IF(5&lt;=(anni_gia_versati + (67 - eta_oggi)),reddito_lordo*(1+crescita_reale_pct/100)^(5 - anni_gia_versati - 1),0)</f>
        <v/>
      </c>
      <c r="C9" s="21">
        <f>B9*aliquota_contrib</f>
        <v/>
      </c>
      <c r="D9" s="22">
        <f>D8*(1+cap_reale)+C9</f>
        <v/>
      </c>
      <c r="E9" s="22">
        <f>IF(5&gt;anni_gia_versati,E8*(1+rend_fp)+(B9*quota_tfr/12 + versamento_fp_mensile)*12,0)</f>
        <v/>
      </c>
    </row>
    <row r="10">
      <c r="A10" s="23" t="n">
        <v>6</v>
      </c>
      <c r="B10" s="24">
        <f>IF(6&lt;=(anni_gia_versati + (67 - eta_oggi)),reddito_lordo*(1+crescita_reale_pct/100)^(6 - anni_gia_versati - 1),0)</f>
        <v/>
      </c>
      <c r="C10" s="24">
        <f>B10*aliquota_contrib</f>
        <v/>
      </c>
      <c r="D10" s="25">
        <f>D9*(1+cap_reale)+C10</f>
        <v/>
      </c>
      <c r="E10" s="25">
        <f>IF(6&gt;anni_gia_versati,E9*(1+rend_fp)+(B10*quota_tfr/12 + versamento_fp_mensile)*12,0)</f>
        <v/>
      </c>
    </row>
    <row r="11">
      <c r="A11" s="20" t="n">
        <v>7</v>
      </c>
      <c r="B11" s="21">
        <f>IF(7&lt;=(anni_gia_versati + (67 - eta_oggi)),reddito_lordo*(1+crescita_reale_pct/100)^(7 - anni_gia_versati - 1),0)</f>
        <v/>
      </c>
      <c r="C11" s="21">
        <f>B11*aliquota_contrib</f>
        <v/>
      </c>
      <c r="D11" s="22">
        <f>D10*(1+cap_reale)+C11</f>
        <v/>
      </c>
      <c r="E11" s="22">
        <f>IF(7&gt;anni_gia_versati,E10*(1+rend_fp)+(B11*quota_tfr/12 + versamento_fp_mensile)*12,0)</f>
        <v/>
      </c>
    </row>
    <row r="12">
      <c r="A12" s="23" t="n">
        <v>8</v>
      </c>
      <c r="B12" s="24">
        <f>IF(8&lt;=(anni_gia_versati + (67 - eta_oggi)),reddito_lordo*(1+crescita_reale_pct/100)^(8 - anni_gia_versati - 1),0)</f>
        <v/>
      </c>
      <c r="C12" s="24">
        <f>B12*aliquota_contrib</f>
        <v/>
      </c>
      <c r="D12" s="25">
        <f>D11*(1+cap_reale)+C12</f>
        <v/>
      </c>
      <c r="E12" s="25">
        <f>IF(8&gt;anni_gia_versati,E11*(1+rend_fp)+(B12*quota_tfr/12 + versamento_fp_mensile)*12,0)</f>
        <v/>
      </c>
    </row>
    <row r="13">
      <c r="A13" s="20" t="n">
        <v>9</v>
      </c>
      <c r="B13" s="21">
        <f>IF(9&lt;=(anni_gia_versati + (67 - eta_oggi)),reddito_lordo*(1+crescita_reale_pct/100)^(9 - anni_gia_versati - 1),0)</f>
        <v/>
      </c>
      <c r="C13" s="21">
        <f>B13*aliquota_contrib</f>
        <v/>
      </c>
      <c r="D13" s="22">
        <f>D12*(1+cap_reale)+C13</f>
        <v/>
      </c>
      <c r="E13" s="22">
        <f>IF(9&gt;anni_gia_versati,E12*(1+rend_fp)+(B13*quota_tfr/12 + versamento_fp_mensile)*12,0)</f>
        <v/>
      </c>
    </row>
    <row r="14">
      <c r="A14" s="23" t="n">
        <v>10</v>
      </c>
      <c r="B14" s="24">
        <f>IF(10&lt;=(anni_gia_versati + (67 - eta_oggi)),reddito_lordo*(1+crescita_reale_pct/100)^(10 - anni_gia_versati - 1),0)</f>
        <v/>
      </c>
      <c r="C14" s="24">
        <f>B14*aliquota_contrib</f>
        <v/>
      </c>
      <c r="D14" s="25">
        <f>D13*(1+cap_reale)+C14</f>
        <v/>
      </c>
      <c r="E14" s="25">
        <f>IF(10&gt;anni_gia_versati,E13*(1+rend_fp)+(B14*quota_tfr/12 + versamento_fp_mensile)*12,0)</f>
        <v/>
      </c>
    </row>
    <row r="15">
      <c r="A15" s="20" t="n">
        <v>11</v>
      </c>
      <c r="B15" s="21">
        <f>IF(11&lt;=(anni_gia_versati + (67 - eta_oggi)),reddito_lordo*(1+crescita_reale_pct/100)^(11 - anni_gia_versati - 1),0)</f>
        <v/>
      </c>
      <c r="C15" s="21">
        <f>B15*aliquota_contrib</f>
        <v/>
      </c>
      <c r="D15" s="22">
        <f>D14*(1+cap_reale)+C15</f>
        <v/>
      </c>
      <c r="E15" s="22">
        <f>IF(11&gt;anni_gia_versati,E14*(1+rend_fp)+(B15*quota_tfr/12 + versamento_fp_mensile)*12,0)</f>
        <v/>
      </c>
    </row>
    <row r="16">
      <c r="A16" s="23" t="n">
        <v>12</v>
      </c>
      <c r="B16" s="24">
        <f>IF(12&lt;=(anni_gia_versati + (67 - eta_oggi)),reddito_lordo*(1+crescita_reale_pct/100)^(12 - anni_gia_versati - 1),0)</f>
        <v/>
      </c>
      <c r="C16" s="24">
        <f>B16*aliquota_contrib</f>
        <v/>
      </c>
      <c r="D16" s="25">
        <f>D15*(1+cap_reale)+C16</f>
        <v/>
      </c>
      <c r="E16" s="25">
        <f>IF(12&gt;anni_gia_versati,E15*(1+rend_fp)+(B16*quota_tfr/12 + versamento_fp_mensile)*12,0)</f>
        <v/>
      </c>
    </row>
    <row r="17">
      <c r="A17" s="20" t="n">
        <v>13</v>
      </c>
      <c r="B17" s="21">
        <f>IF(13&lt;=(anni_gia_versati + (67 - eta_oggi)),reddito_lordo*(1+crescita_reale_pct/100)^(13 - anni_gia_versati - 1),0)</f>
        <v/>
      </c>
      <c r="C17" s="21">
        <f>B17*aliquota_contrib</f>
        <v/>
      </c>
      <c r="D17" s="22">
        <f>D16*(1+cap_reale)+C17</f>
        <v/>
      </c>
      <c r="E17" s="22">
        <f>IF(13&gt;anni_gia_versati,E16*(1+rend_fp)+(B17*quota_tfr/12 + versamento_fp_mensile)*12,0)</f>
        <v/>
      </c>
    </row>
    <row r="18">
      <c r="A18" s="23" t="n">
        <v>14</v>
      </c>
      <c r="B18" s="24">
        <f>IF(14&lt;=(anni_gia_versati + (67 - eta_oggi)),reddito_lordo*(1+crescita_reale_pct/100)^(14 - anni_gia_versati - 1),0)</f>
        <v/>
      </c>
      <c r="C18" s="24">
        <f>B18*aliquota_contrib</f>
        <v/>
      </c>
      <c r="D18" s="25">
        <f>D17*(1+cap_reale)+C18</f>
        <v/>
      </c>
      <c r="E18" s="25">
        <f>IF(14&gt;anni_gia_versati,E17*(1+rend_fp)+(B18*quota_tfr/12 + versamento_fp_mensile)*12,0)</f>
        <v/>
      </c>
    </row>
    <row r="19">
      <c r="A19" s="20" t="n">
        <v>15</v>
      </c>
      <c r="B19" s="21">
        <f>IF(15&lt;=(anni_gia_versati + (67 - eta_oggi)),reddito_lordo*(1+crescita_reale_pct/100)^(15 - anni_gia_versati - 1),0)</f>
        <v/>
      </c>
      <c r="C19" s="21">
        <f>B19*aliquota_contrib</f>
        <v/>
      </c>
      <c r="D19" s="22">
        <f>D18*(1+cap_reale)+C19</f>
        <v/>
      </c>
      <c r="E19" s="22">
        <f>IF(15&gt;anni_gia_versati,E18*(1+rend_fp)+(B19*quota_tfr/12 + versamento_fp_mensile)*12,0)</f>
        <v/>
      </c>
    </row>
    <row r="20">
      <c r="A20" s="23" t="n">
        <v>16</v>
      </c>
      <c r="B20" s="24">
        <f>IF(16&lt;=(anni_gia_versati + (67 - eta_oggi)),reddito_lordo*(1+crescita_reale_pct/100)^(16 - anni_gia_versati - 1),0)</f>
        <v/>
      </c>
      <c r="C20" s="24">
        <f>B20*aliquota_contrib</f>
        <v/>
      </c>
      <c r="D20" s="25">
        <f>D19*(1+cap_reale)+C20</f>
        <v/>
      </c>
      <c r="E20" s="25">
        <f>IF(16&gt;anni_gia_versati,E19*(1+rend_fp)+(B20*quota_tfr/12 + versamento_fp_mensile)*12,0)</f>
        <v/>
      </c>
    </row>
    <row r="21">
      <c r="A21" s="20" t="n">
        <v>17</v>
      </c>
      <c r="B21" s="21">
        <f>IF(17&lt;=(anni_gia_versati + (67 - eta_oggi)),reddito_lordo*(1+crescita_reale_pct/100)^(17 - anni_gia_versati - 1),0)</f>
        <v/>
      </c>
      <c r="C21" s="21">
        <f>B21*aliquota_contrib</f>
        <v/>
      </c>
      <c r="D21" s="22">
        <f>D20*(1+cap_reale)+C21</f>
        <v/>
      </c>
      <c r="E21" s="22">
        <f>IF(17&gt;anni_gia_versati,E20*(1+rend_fp)+(B21*quota_tfr/12 + versamento_fp_mensile)*12,0)</f>
        <v/>
      </c>
    </row>
    <row r="22">
      <c r="A22" s="23" t="n">
        <v>18</v>
      </c>
      <c r="B22" s="24">
        <f>IF(18&lt;=(anni_gia_versati + (67 - eta_oggi)),reddito_lordo*(1+crescita_reale_pct/100)^(18 - anni_gia_versati - 1),0)</f>
        <v/>
      </c>
      <c r="C22" s="24">
        <f>B22*aliquota_contrib</f>
        <v/>
      </c>
      <c r="D22" s="25">
        <f>D21*(1+cap_reale)+C22</f>
        <v/>
      </c>
      <c r="E22" s="25">
        <f>IF(18&gt;anni_gia_versati,E21*(1+rend_fp)+(B22*quota_tfr/12 + versamento_fp_mensile)*12,0)</f>
        <v/>
      </c>
    </row>
    <row r="23">
      <c r="A23" s="20" t="n">
        <v>19</v>
      </c>
      <c r="B23" s="21">
        <f>IF(19&lt;=(anni_gia_versati + (67 - eta_oggi)),reddito_lordo*(1+crescita_reale_pct/100)^(19 - anni_gia_versati - 1),0)</f>
        <v/>
      </c>
      <c r="C23" s="21">
        <f>B23*aliquota_contrib</f>
        <v/>
      </c>
      <c r="D23" s="22">
        <f>D22*(1+cap_reale)+C23</f>
        <v/>
      </c>
      <c r="E23" s="22">
        <f>IF(19&gt;anni_gia_versati,E22*(1+rend_fp)+(B23*quota_tfr/12 + versamento_fp_mensile)*12,0)</f>
        <v/>
      </c>
    </row>
    <row r="24">
      <c r="A24" s="23" t="n">
        <v>20</v>
      </c>
      <c r="B24" s="24">
        <f>IF(20&lt;=(anni_gia_versati + (67 - eta_oggi)),reddito_lordo*(1+crescita_reale_pct/100)^(20 - anni_gia_versati - 1),0)</f>
        <v/>
      </c>
      <c r="C24" s="24">
        <f>B24*aliquota_contrib</f>
        <v/>
      </c>
      <c r="D24" s="25">
        <f>D23*(1+cap_reale)+C24</f>
        <v/>
      </c>
      <c r="E24" s="25">
        <f>IF(20&gt;anni_gia_versati,E23*(1+rend_fp)+(B24*quota_tfr/12 + versamento_fp_mensile)*12,0)</f>
        <v/>
      </c>
    </row>
    <row r="25">
      <c r="A25" s="20" t="n">
        <v>21</v>
      </c>
      <c r="B25" s="21">
        <f>IF(21&lt;=(anni_gia_versati + (67 - eta_oggi)),reddito_lordo*(1+crescita_reale_pct/100)^(21 - anni_gia_versati - 1),0)</f>
        <v/>
      </c>
      <c r="C25" s="21">
        <f>B25*aliquota_contrib</f>
        <v/>
      </c>
      <c r="D25" s="22">
        <f>D24*(1+cap_reale)+C25</f>
        <v/>
      </c>
      <c r="E25" s="22">
        <f>IF(21&gt;anni_gia_versati,E24*(1+rend_fp)+(B25*quota_tfr/12 + versamento_fp_mensile)*12,0)</f>
        <v/>
      </c>
    </row>
    <row r="26">
      <c r="A26" s="23" t="n">
        <v>22</v>
      </c>
      <c r="B26" s="24">
        <f>IF(22&lt;=(anni_gia_versati + (67 - eta_oggi)),reddito_lordo*(1+crescita_reale_pct/100)^(22 - anni_gia_versati - 1),0)</f>
        <v/>
      </c>
      <c r="C26" s="24">
        <f>B26*aliquota_contrib</f>
        <v/>
      </c>
      <c r="D26" s="25">
        <f>D25*(1+cap_reale)+C26</f>
        <v/>
      </c>
      <c r="E26" s="25">
        <f>IF(22&gt;anni_gia_versati,E25*(1+rend_fp)+(B26*quota_tfr/12 + versamento_fp_mensile)*12,0)</f>
        <v/>
      </c>
    </row>
    <row r="27">
      <c r="A27" s="20" t="n">
        <v>23</v>
      </c>
      <c r="B27" s="21">
        <f>IF(23&lt;=(anni_gia_versati + (67 - eta_oggi)),reddito_lordo*(1+crescita_reale_pct/100)^(23 - anni_gia_versati - 1),0)</f>
        <v/>
      </c>
      <c r="C27" s="21">
        <f>B27*aliquota_contrib</f>
        <v/>
      </c>
      <c r="D27" s="22">
        <f>D26*(1+cap_reale)+C27</f>
        <v/>
      </c>
      <c r="E27" s="22">
        <f>IF(23&gt;anni_gia_versati,E26*(1+rend_fp)+(B27*quota_tfr/12 + versamento_fp_mensile)*12,0)</f>
        <v/>
      </c>
    </row>
    <row r="28">
      <c r="A28" s="23" t="n">
        <v>24</v>
      </c>
      <c r="B28" s="24">
        <f>IF(24&lt;=(anni_gia_versati + (67 - eta_oggi)),reddito_lordo*(1+crescita_reale_pct/100)^(24 - anni_gia_versati - 1),0)</f>
        <v/>
      </c>
      <c r="C28" s="24">
        <f>B28*aliquota_contrib</f>
        <v/>
      </c>
      <c r="D28" s="25">
        <f>D27*(1+cap_reale)+C28</f>
        <v/>
      </c>
      <c r="E28" s="25">
        <f>IF(24&gt;anni_gia_versati,E27*(1+rend_fp)+(B28*quota_tfr/12 + versamento_fp_mensile)*12,0)</f>
        <v/>
      </c>
    </row>
    <row r="29">
      <c r="A29" s="20" t="n">
        <v>25</v>
      </c>
      <c r="B29" s="21">
        <f>IF(25&lt;=(anni_gia_versati + (67 - eta_oggi)),reddito_lordo*(1+crescita_reale_pct/100)^(25 - anni_gia_versati - 1),0)</f>
        <v/>
      </c>
      <c r="C29" s="21">
        <f>B29*aliquota_contrib</f>
        <v/>
      </c>
      <c r="D29" s="22">
        <f>D28*(1+cap_reale)+C29</f>
        <v/>
      </c>
      <c r="E29" s="22">
        <f>IF(25&gt;anni_gia_versati,E28*(1+rend_fp)+(B29*quota_tfr/12 + versamento_fp_mensile)*12,0)</f>
        <v/>
      </c>
    </row>
    <row r="30">
      <c r="A30" s="23" t="n">
        <v>26</v>
      </c>
      <c r="B30" s="24">
        <f>IF(26&lt;=(anni_gia_versati + (67 - eta_oggi)),reddito_lordo*(1+crescita_reale_pct/100)^(26 - anni_gia_versati - 1),0)</f>
        <v/>
      </c>
      <c r="C30" s="24">
        <f>B30*aliquota_contrib</f>
        <v/>
      </c>
      <c r="D30" s="25">
        <f>D29*(1+cap_reale)+C30</f>
        <v/>
      </c>
      <c r="E30" s="25">
        <f>IF(26&gt;anni_gia_versati,E29*(1+rend_fp)+(B30*quota_tfr/12 + versamento_fp_mensile)*12,0)</f>
        <v/>
      </c>
    </row>
    <row r="31">
      <c r="A31" s="20" t="n">
        <v>27</v>
      </c>
      <c r="B31" s="21">
        <f>IF(27&lt;=(anni_gia_versati + (67 - eta_oggi)),reddito_lordo*(1+crescita_reale_pct/100)^(27 - anni_gia_versati - 1),0)</f>
        <v/>
      </c>
      <c r="C31" s="21">
        <f>B31*aliquota_contrib</f>
        <v/>
      </c>
      <c r="D31" s="22">
        <f>D30*(1+cap_reale)+C31</f>
        <v/>
      </c>
      <c r="E31" s="22">
        <f>IF(27&gt;anni_gia_versati,E30*(1+rend_fp)+(B31*quota_tfr/12 + versamento_fp_mensile)*12,0)</f>
        <v/>
      </c>
    </row>
    <row r="32">
      <c r="A32" s="23" t="n">
        <v>28</v>
      </c>
      <c r="B32" s="24">
        <f>IF(28&lt;=(anni_gia_versati + (67 - eta_oggi)),reddito_lordo*(1+crescita_reale_pct/100)^(28 - anni_gia_versati - 1),0)</f>
        <v/>
      </c>
      <c r="C32" s="24">
        <f>B32*aliquota_contrib</f>
        <v/>
      </c>
      <c r="D32" s="25">
        <f>D31*(1+cap_reale)+C32</f>
        <v/>
      </c>
      <c r="E32" s="25">
        <f>IF(28&gt;anni_gia_versati,E31*(1+rend_fp)+(B32*quota_tfr/12 + versamento_fp_mensile)*12,0)</f>
        <v/>
      </c>
    </row>
    <row r="33">
      <c r="A33" s="20" t="n">
        <v>29</v>
      </c>
      <c r="B33" s="21">
        <f>IF(29&lt;=(anni_gia_versati + (67 - eta_oggi)),reddito_lordo*(1+crescita_reale_pct/100)^(29 - anni_gia_versati - 1),0)</f>
        <v/>
      </c>
      <c r="C33" s="21">
        <f>B33*aliquota_contrib</f>
        <v/>
      </c>
      <c r="D33" s="22">
        <f>D32*(1+cap_reale)+C33</f>
        <v/>
      </c>
      <c r="E33" s="22">
        <f>IF(29&gt;anni_gia_versati,E32*(1+rend_fp)+(B33*quota_tfr/12 + versamento_fp_mensile)*12,0)</f>
        <v/>
      </c>
    </row>
    <row r="34">
      <c r="A34" s="23" t="n">
        <v>30</v>
      </c>
      <c r="B34" s="24">
        <f>IF(30&lt;=(anni_gia_versati + (67 - eta_oggi)),reddito_lordo*(1+crescita_reale_pct/100)^(30 - anni_gia_versati - 1),0)</f>
        <v/>
      </c>
      <c r="C34" s="24">
        <f>B34*aliquota_contrib</f>
        <v/>
      </c>
      <c r="D34" s="25">
        <f>D33*(1+cap_reale)+C34</f>
        <v/>
      </c>
      <c r="E34" s="25">
        <f>IF(30&gt;anni_gia_versati,E33*(1+rend_fp)+(B34*quota_tfr/12 + versamento_fp_mensile)*12,0)</f>
        <v/>
      </c>
    </row>
    <row r="35">
      <c r="A35" s="20" t="n">
        <v>31</v>
      </c>
      <c r="B35" s="21">
        <f>IF(31&lt;=(anni_gia_versati + (67 - eta_oggi)),reddito_lordo*(1+crescita_reale_pct/100)^(31 - anni_gia_versati - 1),0)</f>
        <v/>
      </c>
      <c r="C35" s="21">
        <f>B35*aliquota_contrib</f>
        <v/>
      </c>
      <c r="D35" s="22">
        <f>D34*(1+cap_reale)+C35</f>
        <v/>
      </c>
      <c r="E35" s="22">
        <f>IF(31&gt;anni_gia_versati,E34*(1+rend_fp)+(B35*quota_tfr/12 + versamento_fp_mensile)*12,0)</f>
        <v/>
      </c>
    </row>
    <row r="36">
      <c r="A36" s="23" t="n">
        <v>32</v>
      </c>
      <c r="B36" s="24">
        <f>IF(32&lt;=(anni_gia_versati + (67 - eta_oggi)),reddito_lordo*(1+crescita_reale_pct/100)^(32 - anni_gia_versati - 1),0)</f>
        <v/>
      </c>
      <c r="C36" s="24">
        <f>B36*aliquota_contrib</f>
        <v/>
      </c>
      <c r="D36" s="25">
        <f>D35*(1+cap_reale)+C36</f>
        <v/>
      </c>
      <c r="E36" s="25">
        <f>IF(32&gt;anni_gia_versati,E35*(1+rend_fp)+(B36*quota_tfr/12 + versamento_fp_mensile)*12,0)</f>
        <v/>
      </c>
    </row>
    <row r="37">
      <c r="A37" s="20" t="n">
        <v>33</v>
      </c>
      <c r="B37" s="21">
        <f>IF(33&lt;=(anni_gia_versati + (67 - eta_oggi)),reddito_lordo*(1+crescita_reale_pct/100)^(33 - anni_gia_versati - 1),0)</f>
        <v/>
      </c>
      <c r="C37" s="21">
        <f>B37*aliquota_contrib</f>
        <v/>
      </c>
      <c r="D37" s="22">
        <f>D36*(1+cap_reale)+C37</f>
        <v/>
      </c>
      <c r="E37" s="22">
        <f>IF(33&gt;anni_gia_versati,E36*(1+rend_fp)+(B37*quota_tfr/12 + versamento_fp_mensile)*12,0)</f>
        <v/>
      </c>
    </row>
    <row r="38">
      <c r="A38" s="23" t="n">
        <v>34</v>
      </c>
      <c r="B38" s="24">
        <f>IF(34&lt;=(anni_gia_versati + (67 - eta_oggi)),reddito_lordo*(1+crescita_reale_pct/100)^(34 - anni_gia_versati - 1),0)</f>
        <v/>
      </c>
      <c r="C38" s="24">
        <f>B38*aliquota_contrib</f>
        <v/>
      </c>
      <c r="D38" s="25">
        <f>D37*(1+cap_reale)+C38</f>
        <v/>
      </c>
      <c r="E38" s="25">
        <f>IF(34&gt;anni_gia_versati,E37*(1+rend_fp)+(B38*quota_tfr/12 + versamento_fp_mensile)*12,0)</f>
        <v/>
      </c>
    </row>
    <row r="39">
      <c r="A39" s="20" t="n">
        <v>35</v>
      </c>
      <c r="B39" s="21">
        <f>IF(35&lt;=(anni_gia_versati + (67 - eta_oggi)),reddito_lordo*(1+crescita_reale_pct/100)^(35 - anni_gia_versati - 1),0)</f>
        <v/>
      </c>
      <c r="C39" s="21">
        <f>B39*aliquota_contrib</f>
        <v/>
      </c>
      <c r="D39" s="22">
        <f>D38*(1+cap_reale)+C39</f>
        <v/>
      </c>
      <c r="E39" s="22">
        <f>IF(35&gt;anni_gia_versati,E38*(1+rend_fp)+(B39*quota_tfr/12 + versamento_fp_mensile)*12,0)</f>
        <v/>
      </c>
    </row>
    <row r="40">
      <c r="A40" s="23" t="n">
        <v>36</v>
      </c>
      <c r="B40" s="24">
        <f>IF(36&lt;=(anni_gia_versati + (67 - eta_oggi)),reddito_lordo*(1+crescita_reale_pct/100)^(36 - anni_gia_versati - 1),0)</f>
        <v/>
      </c>
      <c r="C40" s="24">
        <f>B40*aliquota_contrib</f>
        <v/>
      </c>
      <c r="D40" s="25">
        <f>D39*(1+cap_reale)+C40</f>
        <v/>
      </c>
      <c r="E40" s="25">
        <f>IF(36&gt;anni_gia_versati,E39*(1+rend_fp)+(B40*quota_tfr/12 + versamento_fp_mensile)*12,0)</f>
        <v/>
      </c>
    </row>
    <row r="41">
      <c r="A41" s="20" t="n">
        <v>37</v>
      </c>
      <c r="B41" s="21">
        <f>IF(37&lt;=(anni_gia_versati + (67 - eta_oggi)),reddito_lordo*(1+crescita_reale_pct/100)^(37 - anni_gia_versati - 1),0)</f>
        <v/>
      </c>
      <c r="C41" s="21">
        <f>B41*aliquota_contrib</f>
        <v/>
      </c>
      <c r="D41" s="22">
        <f>D40*(1+cap_reale)+C41</f>
        <v/>
      </c>
      <c r="E41" s="22">
        <f>IF(37&gt;anni_gia_versati,E40*(1+rend_fp)+(B41*quota_tfr/12 + versamento_fp_mensile)*12,0)</f>
        <v/>
      </c>
    </row>
    <row r="42">
      <c r="A42" s="23" t="n">
        <v>38</v>
      </c>
      <c r="B42" s="24">
        <f>IF(38&lt;=(anni_gia_versati + (67 - eta_oggi)),reddito_lordo*(1+crescita_reale_pct/100)^(38 - anni_gia_versati - 1),0)</f>
        <v/>
      </c>
      <c r="C42" s="24">
        <f>B42*aliquota_contrib</f>
        <v/>
      </c>
      <c r="D42" s="25">
        <f>D41*(1+cap_reale)+C42</f>
        <v/>
      </c>
      <c r="E42" s="25">
        <f>IF(38&gt;anni_gia_versati,E41*(1+rend_fp)+(B42*quota_tfr/12 + versamento_fp_mensile)*12,0)</f>
        <v/>
      </c>
    </row>
    <row r="43">
      <c r="A43" s="20" t="n">
        <v>39</v>
      </c>
      <c r="B43" s="21">
        <f>IF(39&lt;=(anni_gia_versati + (67 - eta_oggi)),reddito_lordo*(1+crescita_reale_pct/100)^(39 - anni_gia_versati - 1),0)</f>
        <v/>
      </c>
      <c r="C43" s="21">
        <f>B43*aliquota_contrib</f>
        <v/>
      </c>
      <c r="D43" s="22">
        <f>D42*(1+cap_reale)+C43</f>
        <v/>
      </c>
      <c r="E43" s="22">
        <f>IF(39&gt;anni_gia_versati,E42*(1+rend_fp)+(B43*quota_tfr/12 + versamento_fp_mensile)*12,0)</f>
        <v/>
      </c>
    </row>
    <row r="44">
      <c r="A44" s="23" t="n">
        <v>40</v>
      </c>
      <c r="B44" s="24">
        <f>IF(40&lt;=(anni_gia_versati + (67 - eta_oggi)),reddito_lordo*(1+crescita_reale_pct/100)^(40 - anni_gia_versati - 1),0)</f>
        <v/>
      </c>
      <c r="C44" s="24">
        <f>B44*aliquota_contrib</f>
        <v/>
      </c>
      <c r="D44" s="25">
        <f>D43*(1+cap_reale)+C44</f>
        <v/>
      </c>
      <c r="E44" s="25">
        <f>IF(40&gt;anni_gia_versati,E43*(1+rend_fp)+(B44*quota_tfr/12 + versamento_fp_mensile)*12,0)</f>
        <v/>
      </c>
    </row>
    <row r="45">
      <c r="A45" s="20" t="n">
        <v>41</v>
      </c>
      <c r="B45" s="21">
        <f>IF(41&lt;=(anni_gia_versati + (67 - eta_oggi)),reddito_lordo*(1+crescita_reale_pct/100)^(41 - anni_gia_versati - 1),0)</f>
        <v/>
      </c>
      <c r="C45" s="21">
        <f>B45*aliquota_contrib</f>
        <v/>
      </c>
      <c r="D45" s="22">
        <f>D44*(1+cap_reale)+C45</f>
        <v/>
      </c>
      <c r="E45" s="22">
        <f>IF(41&gt;anni_gia_versati,E44*(1+rend_fp)+(B45*quota_tfr/12 + versamento_fp_mensile)*12,0)</f>
        <v/>
      </c>
    </row>
    <row r="46">
      <c r="A46" s="23" t="n">
        <v>42</v>
      </c>
      <c r="B46" s="24">
        <f>IF(42&lt;=(anni_gia_versati + (67 - eta_oggi)),reddito_lordo*(1+crescita_reale_pct/100)^(42 - anni_gia_versati - 1),0)</f>
        <v/>
      </c>
      <c r="C46" s="24">
        <f>B46*aliquota_contrib</f>
        <v/>
      </c>
      <c r="D46" s="25">
        <f>D45*(1+cap_reale)+C46</f>
        <v/>
      </c>
      <c r="E46" s="25">
        <f>IF(42&gt;anni_gia_versati,E45*(1+rend_fp)+(B46*quota_tfr/12 + versamento_fp_mensile)*12,0)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42" customHeight="1">
      <c r="A1" s="1" t="inlineStr">
        <is>
          <t>📊  Risultato — la tua pensione futura</t>
        </is>
      </c>
    </row>
    <row r="2" ht="16" customHeight="1"/>
    <row r="3">
      <c r="A3" s="26" t="inlineStr">
        <is>
          <t>La tua pensione INPS netta mensile (in € di oggi)</t>
        </is>
      </c>
    </row>
    <row r="4" ht="28" customHeight="1">
      <c r="A4" s="27">
        <f>INDEX(Calcolo!D:D, anni_gia_versati + (67-eta_oggi) + 4) * coeff_trasf_67 * netto_pensione / 12</f>
        <v/>
      </c>
    </row>
    <row r="5" ht="28" customHeight="1"/>
    <row r="6" ht="28" customHeight="1"/>
    <row r="7" ht="12" customHeight="1"/>
    <row r="8">
      <c r="A8" s="28" t="inlineStr">
        <is>
          <t>Tasso di sostituzione vs ultimo stipendio netto</t>
        </is>
      </c>
    </row>
    <row r="9" ht="32" customHeight="1">
      <c r="A9" s="29">
        <f>(INDEX(Calcolo!D:D, anni_gia_versati + (67-eta_oggi) + 4) * coeff_trasf_67 * netto_pensione / 12) / (INDEX(Calcolo!B:B, anni_gia_versati + (67-eta_oggi) + 4) * netto_stipendio / 12)</f>
        <v/>
      </c>
    </row>
    <row r="10" ht="16" customHeight="1"/>
    <row r="11" ht="30" customHeight="1">
      <c r="A11" s="5" t="inlineStr">
        <is>
          <t>🧾  Riepilogo proiezione 67 anni</t>
        </is>
      </c>
    </row>
    <row r="12" ht="26" customHeight="1">
      <c r="A12" s="30" t="inlineStr">
        <is>
          <t>Anni mancanti alla pensione</t>
        </is>
      </c>
      <c r="B12" s="31" t="n"/>
      <c r="C12" s="31" t="n"/>
      <c r="D12" s="31" t="n"/>
      <c r="E12" s="32">
        <f>67-eta_oggi</f>
        <v/>
      </c>
      <c r="F12" s="31" t="n"/>
    </row>
    <row r="13" ht="26" customHeight="1">
      <c r="A13" s="30" t="inlineStr">
        <is>
          <t>Reddito lordo ultimo anno (€ di oggi)</t>
        </is>
      </c>
      <c r="B13" s="31" t="n"/>
      <c r="C13" s="31" t="n"/>
      <c r="D13" s="31" t="n"/>
      <c r="E13" s="33">
        <f>INDEX(Calcolo!B:B, anni_gia_versati + (67-eta_oggi) + 4)</f>
        <v/>
      </c>
      <c r="F13" s="31" t="n"/>
    </row>
    <row r="14" ht="26" customHeight="1">
      <c r="A14" s="30" t="inlineStr">
        <is>
          <t>Stipendio netto ultimo anno mensile</t>
        </is>
      </c>
      <c r="B14" s="31" t="n"/>
      <c r="C14" s="31" t="n"/>
      <c r="D14" s="31" t="n"/>
      <c r="E14" s="33">
        <f>INDEX(Calcolo!B:B, anni_gia_versati + (67-eta_oggi) + 4) * netto_stipendio / 12</f>
        <v/>
      </c>
      <c r="F14" s="31" t="n"/>
    </row>
    <row r="15" ht="26" customHeight="1">
      <c r="A15" s="30" t="inlineStr">
        <is>
          <t>Montante contributivo INPS finale</t>
        </is>
      </c>
      <c r="B15" s="31" t="n"/>
      <c r="C15" s="31" t="n"/>
      <c r="D15" s="31" t="n"/>
      <c r="E15" s="33">
        <f>INDEX(Calcolo!D:D, anni_gia_versati + (67-eta_oggi) + 4)</f>
        <v/>
      </c>
      <c r="F15" s="31" t="n"/>
    </row>
    <row r="16" ht="26" customHeight="1">
      <c r="A16" s="30" t="inlineStr">
        <is>
          <t>Pensione INPS LORDA annua</t>
        </is>
      </c>
      <c r="B16" s="31" t="n"/>
      <c r="C16" s="31" t="n"/>
      <c r="D16" s="31" t="n"/>
      <c r="E16" s="33">
        <f>INDEX(Calcolo!D:D, anni_gia_versati + (67-eta_oggi) + 4) * coeff_trasf_67</f>
        <v/>
      </c>
      <c r="F16" s="31" t="n"/>
    </row>
    <row r="17" ht="26" customHeight="1">
      <c r="A17" s="30" t="inlineStr">
        <is>
          <t>Pensione INPS NETTA mensile</t>
        </is>
      </c>
      <c r="B17" s="31" t="n"/>
      <c r="C17" s="31" t="n"/>
      <c r="D17" s="31" t="n"/>
      <c r="E17" s="33">
        <f>INDEX(Calcolo!D:D, anni_gia_versati + (67-eta_oggi) + 4) * coeff_trasf_67 * netto_pensione / 12</f>
        <v/>
      </c>
      <c r="F17" s="31" t="n"/>
    </row>
    <row r="18" ht="26" customHeight="1">
      <c r="A18" s="30" t="inlineStr">
        <is>
          <t>Capitale fondo pensione finale</t>
        </is>
      </c>
      <c r="B18" s="31" t="n"/>
      <c r="C18" s="31" t="n"/>
      <c r="D18" s="31" t="n"/>
      <c r="E18" s="33">
        <f>INDEX(Calcolo!E:E, anni_gia_versati + (67-eta_oggi) + 4)</f>
        <v/>
      </c>
      <c r="F18" s="31" t="n"/>
    </row>
    <row r="19" ht="26" customHeight="1">
      <c r="A19" s="30" t="inlineStr">
        <is>
          <t>Rendita FP mensile (20y)</t>
        </is>
      </c>
      <c r="B19" s="31" t="n"/>
      <c r="C19" s="31" t="n"/>
      <c r="D19" s="31" t="n"/>
      <c r="E19" s="33">
        <f>INDEX(Calcolo!E:E, anni_gia_versati + (67-eta_oggi) + 4) * 0.91 / 240</f>
        <v/>
      </c>
      <c r="F19" s="31" t="n"/>
    </row>
    <row r="20" ht="26" customHeight="1">
      <c r="A20" s="30" t="inlineStr">
        <is>
          <t>TOTALE mensile (INPS + FP)</t>
        </is>
      </c>
      <c r="B20" s="31" t="n"/>
      <c r="C20" s="31" t="n"/>
      <c r="D20" s="31" t="n"/>
      <c r="E20" s="33">
        <f>INDEX(Calcolo!D:D, anni_gia_versati + (67-eta_oggi) + 4) * coeff_trasf_67 * netto_pensione / 12 + INDEX(Calcolo!E:E, anni_gia_versati + (67-eta_oggi) + 4) * 0.91 / 240</f>
        <v/>
      </c>
      <c r="F20" s="31" t="n"/>
    </row>
    <row r="21" ht="26" customHeight="1">
      <c r="A21" s="30" t="inlineStr">
        <is>
          <t>Target 75% ultimo stipendio mensile</t>
        </is>
      </c>
      <c r="B21" s="31" t="n"/>
      <c r="C21" s="31" t="n"/>
      <c r="D21" s="31" t="n"/>
      <c r="E21" s="33">
        <f>INDEX(Calcolo!B:B, anni_gia_versati + (67-eta_oggi) + 4) * netto_stipendio / 12 * target_sost</f>
        <v/>
      </c>
      <c r="F21" s="31" t="n"/>
    </row>
    <row r="23" ht="16" customHeight="1"/>
    <row r="24" ht="28" customHeight="1">
      <c r="A24" s="5" t="inlineStr">
        <is>
          <t>📈  Crescita montante contributivo anno per anno</t>
        </is>
      </c>
    </row>
    <row r="46" ht="28" customHeight="1">
      <c r="A46" s="9" t="inlineStr">
        <is>
          <t>🌐  didiertommasi.com    📩  Newsletter settimanale    📊  Materiale educativo  ·  Non consulenza personalizzata</t>
        </is>
      </c>
    </row>
  </sheetData>
  <mergeCells count="28">
    <mergeCell ref="E12:F12"/>
    <mergeCell ref="A17:D17"/>
    <mergeCell ref="A46:F46"/>
    <mergeCell ref="A20:D20"/>
    <mergeCell ref="E14:F14"/>
    <mergeCell ref="A19:D19"/>
    <mergeCell ref="A3:F3"/>
    <mergeCell ref="E17:F17"/>
    <mergeCell ref="A13:D13"/>
    <mergeCell ref="E20:F20"/>
    <mergeCell ref="E19:F19"/>
    <mergeCell ref="A8:F8"/>
    <mergeCell ref="A15:D15"/>
    <mergeCell ref="E13:F13"/>
    <mergeCell ref="E15:F15"/>
    <mergeCell ref="A4:F6"/>
    <mergeCell ref="A9:F9"/>
    <mergeCell ref="A16:D16"/>
    <mergeCell ref="A24:F24"/>
    <mergeCell ref="A11:F11"/>
    <mergeCell ref="A18:D18"/>
    <mergeCell ref="E16:F16"/>
    <mergeCell ref="E21:F21"/>
    <mergeCell ref="A12:D12"/>
    <mergeCell ref="A1:F1"/>
    <mergeCell ref="A21:D21"/>
    <mergeCell ref="E18:F18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2026-04-28T20:38:01Z</dcterms:created>
  <dcterms:modified xsi:type="dcterms:W3CDTF">2026-04-28T20:38:01Z</dcterms:modified>
</cp:coreProperties>
</file>