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struzioni" sheetId="1" state="visible" r:id="rId1"/>
    <sheet name="Input" sheetId="2" state="visible" r:id="rId2"/>
    <sheet name="Calcolo" sheetId="3" state="visible" r:id="rId3"/>
    <sheet name="Risultato" sheetId="4" state="visible" r:id="rId4"/>
  </sheets>
  <definedNames>
    <definedName name="capitale">Input!$B$5</definedName>
    <definedName name="anni">Input!$B$6</definedName>
    <definedName name="inflazione_pct">Input!$B$7</definedName>
    <definedName name="rend_dep">Input!$B$8</definedName>
    <definedName name="rend_btp">Input!$B$9</definedName>
    <definedName name="rend_obbl">Input!$B$10</definedName>
    <definedName name="rend_etf">Input!$B$11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 &quot;€&quot;"/>
    <numFmt numFmtId="165" formatCode="0.00&quot;%&quot;"/>
    <numFmt numFmtId="166" formatCode="&quot;-&quot;#,##0 &quot;€&quot;"/>
  </numFmts>
  <fonts count="17">
    <font>
      <name val="Calibri"/>
      <family val="2"/>
      <color theme="1"/>
      <sz val="11"/>
      <scheme val="minor"/>
    </font>
    <font>
      <name val="Calibri"/>
      <b val="1"/>
      <color rgb="00FFFFFF"/>
      <sz val="24"/>
    </font>
    <font>
      <name val="Calibri"/>
      <i val="1"/>
      <color rgb="00E8A33D"/>
      <sz val="10"/>
    </font>
    <font>
      <name val="Calibri"/>
      <b val="1"/>
      <color rgb="0014213D"/>
      <sz val="13"/>
    </font>
    <font>
      <name val="Consolas"/>
      <color rgb="001A2950"/>
      <sz val="9"/>
    </font>
    <font>
      <name val="Calibri"/>
      <i val="1"/>
      <color rgb="006B7280"/>
      <sz val="9"/>
    </font>
    <font>
      <name val="Calibri"/>
      <color rgb="00E8A33D"/>
      <sz val="9"/>
    </font>
    <font>
      <name val="Calibri"/>
      <b val="1"/>
      <color rgb="00FFFFFF"/>
      <sz val="10"/>
    </font>
    <font>
      <name val="Calibri"/>
      <b val="1"/>
      <color rgb="0014213D"/>
      <sz val="11"/>
    </font>
    <font>
      <name val="Calibri"/>
      <b val="1"/>
      <color rgb="0014213D"/>
      <sz val="14"/>
    </font>
    <font>
      <name val="Calibri"/>
      <b val="1"/>
      <color rgb="0014213D"/>
      <sz val="10"/>
    </font>
    <font>
      <name val="Calibri"/>
      <color rgb="004A5568"/>
      <sz val="10"/>
    </font>
    <font>
      <name val="Calibri"/>
      <color rgb="006B7280"/>
      <sz val="11"/>
    </font>
    <font>
      <name val="Calibri"/>
      <b val="1"/>
      <color rgb="0014213D"/>
      <sz val="32"/>
    </font>
    <font>
      <name val="Calibri"/>
      <color rgb="006B7280"/>
      <sz val="10"/>
    </font>
    <font>
      <name val="Calibri"/>
      <b val="1"/>
      <color rgb="0014213D"/>
      <sz val="22"/>
    </font>
    <font>
      <name val="Calibri"/>
      <b val="1"/>
      <color rgb="0014213D"/>
      <sz val="12"/>
    </font>
  </fonts>
  <fills count="9">
    <fill>
      <patternFill/>
    </fill>
    <fill>
      <patternFill patternType="gray125"/>
    </fill>
    <fill>
      <patternFill patternType="solid">
        <fgColor rgb="0014213D"/>
        <bgColor rgb="0014213D"/>
      </patternFill>
    </fill>
    <fill>
      <patternFill patternType="solid">
        <fgColor rgb="00070D1C"/>
        <bgColor rgb="00070D1C"/>
      </patternFill>
    </fill>
    <fill>
      <patternFill patternType="solid">
        <fgColor rgb="00E8A33D"/>
        <bgColor rgb="00E8A33D"/>
      </patternFill>
    </fill>
    <fill>
      <patternFill patternType="solid">
        <fgColor rgb="00FAFAF7"/>
        <bgColor rgb="00FAFAF7"/>
      </patternFill>
    </fill>
    <fill>
      <patternFill patternType="solid">
        <fgColor rgb="00FFF3D6"/>
        <bgColor rgb="00FFF3D6"/>
      </patternFill>
    </fill>
    <fill>
      <patternFill patternType="solid">
        <fgColor rgb="00F8F8F5"/>
        <bgColor rgb="00F8F8F5"/>
      </patternFill>
    </fill>
    <fill>
      <patternFill patternType="solid">
        <fgColor rgb="00D4F5E5"/>
        <bgColor rgb="00D4F5E5"/>
      </patternFill>
    </fill>
  </fills>
  <borders count="5">
    <border>
      <left/>
      <right/>
      <top/>
      <bottom/>
      <diagonal/>
    </border>
    <border>
      <left style="medium">
        <color rgb="00E8A33D"/>
      </left>
      <right style="medium">
        <color rgb="00E8A33D"/>
      </right>
      <top style="medium">
        <color rgb="00E8A33D"/>
      </top>
      <bottom style="medium">
        <color rgb="00E8A33D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bottom style="thin">
        <color rgb="00E5E7EB"/>
      </bottom>
    </border>
    <border>
      <left/>
      <right/>
      <top/>
      <bottom style="thin">
        <color rgb="00E5E7EB"/>
      </bottom>
      <diagonal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 indent="1"/>
    </xf>
    <xf numFmtId="0" fontId="4" fillId="5" borderId="1" applyAlignment="1" pivotButton="0" quotePrefix="0" xfId="0">
      <alignment horizontal="left" vertical="top" wrapText="1" indent="1"/>
    </xf>
    <xf numFmtId="0" fontId="5" fillId="0" borderId="0" applyAlignment="1" pivotButton="0" quotePrefix="0" xfId="0">
      <alignment horizontal="left" vertical="top" wrapText="1" indent="1"/>
    </xf>
    <xf numFmtId="0" fontId="6" fillId="3" borderId="0" applyAlignment="1" pivotButton="0" quotePrefix="0" xfId="0">
      <alignment horizontal="center" vertical="center" wrapText="1"/>
    </xf>
    <xf numFmtId="0" fontId="7" fillId="2" borderId="2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left" vertical="center" wrapText="1" indent="1"/>
    </xf>
    <xf numFmtId="164" fontId="9" fillId="6" borderId="1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left" vertical="top" wrapText="1" indent="1"/>
    </xf>
    <xf numFmtId="1" fontId="9" fillId="6" borderId="1" applyAlignment="1" pivotButton="0" quotePrefix="0" xfId="0">
      <alignment horizontal="center" vertical="center" wrapText="1"/>
    </xf>
    <xf numFmtId="165" fontId="9" fillId="6" borderId="1" applyAlignment="1" pivotButton="0" quotePrefix="0" xfId="0">
      <alignment horizontal="center" vertical="center" wrapText="1"/>
    </xf>
    <xf numFmtId="0" fontId="10" fillId="0" borderId="2" applyAlignment="1" pivotButton="0" quotePrefix="0" xfId="0">
      <alignment horizontal="center" vertical="center" wrapText="1"/>
    </xf>
    <xf numFmtId="164" fontId="10" fillId="0" borderId="2" applyAlignment="1" pivotButton="0" quotePrefix="0" xfId="0">
      <alignment horizontal="right" vertical="center" indent="1"/>
    </xf>
    <xf numFmtId="164" fontId="11" fillId="0" borderId="2" applyAlignment="1" pivotButton="0" quotePrefix="0" xfId="0">
      <alignment horizontal="right" vertical="center" indent="1"/>
    </xf>
    <xf numFmtId="0" fontId="10" fillId="7" borderId="2" applyAlignment="1" pivotButton="0" quotePrefix="0" xfId="0">
      <alignment horizontal="center" vertical="center" wrapText="1"/>
    </xf>
    <xf numFmtId="164" fontId="10" fillId="7" borderId="2" applyAlignment="1" pivotButton="0" quotePrefix="0" xfId="0">
      <alignment horizontal="right" vertical="center" indent="1"/>
    </xf>
    <xf numFmtId="164" fontId="11" fillId="7" borderId="2" applyAlignment="1" pivotButton="0" quotePrefix="0" xfId="0">
      <alignment horizontal="right" vertical="center" indent="1"/>
    </xf>
    <xf numFmtId="0" fontId="12" fillId="0" borderId="0" applyAlignment="1" pivotButton="0" quotePrefix="0" xfId="0">
      <alignment horizontal="center" vertical="center" wrapText="1"/>
    </xf>
    <xf numFmtId="166" fontId="13" fillId="4" borderId="0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center" vertical="center" wrapText="1"/>
    </xf>
    <xf numFmtId="164" fontId="15" fillId="8" borderId="0" applyAlignment="1" pivotButton="0" quotePrefix="0" xfId="0">
      <alignment horizontal="center" vertical="center" wrapText="1"/>
    </xf>
    <xf numFmtId="0" fontId="8" fillId="0" borderId="3" applyAlignment="1" pivotButton="0" quotePrefix="0" xfId="0">
      <alignment horizontal="left" vertical="center" wrapText="1" indent="1"/>
    </xf>
    <xf numFmtId="0" fontId="0" fillId="0" borderId="4" pivotButton="0" quotePrefix="0" xfId="0"/>
    <xf numFmtId="164" fontId="16" fillId="0" borderId="3" applyAlignment="1" pivotButton="0" quotePrefix="0" xfId="0">
      <alignment horizontal="righ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plotArea>
      <lineChart>
        <grouping val="standard"/>
        <ser>
          <idx val="0"/>
          <order val="0"/>
          <tx>
            <strRef>
              <f>'Calcolo'!B4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'Calcolo'!$A$5:$A$54</f>
            </numRef>
          </cat>
          <val>
            <numRef>
              <f>'Calcolo'!$B$5:$B$54</f>
            </numRef>
          </val>
        </ser>
        <ser>
          <idx val="1"/>
          <order val="1"/>
          <tx>
            <strRef>
              <f>'Calcolo'!C4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'Calcolo'!$A$5:$A$54</f>
            </numRef>
          </cat>
          <val>
            <numRef>
              <f>'Calcolo'!$C$5:$C$54</f>
            </numRef>
          </val>
        </ser>
        <ser>
          <idx val="2"/>
          <order val="2"/>
          <tx>
            <strRef>
              <f>'Calcolo'!D4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'Calcolo'!$A$5:$A$54</f>
            </numRef>
          </cat>
          <val>
            <numRef>
              <f>'Calcolo'!$D$5:$D$54</f>
            </numRef>
          </val>
        </ser>
        <ser>
          <idx val="3"/>
          <order val="3"/>
          <tx>
            <strRef>
              <f>'Calcolo'!E4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'Calcolo'!$A$5:$A$54</f>
            </numRef>
          </cat>
          <val>
            <numRef>
              <f>'Calcolo'!$E$5:$E$54</f>
            </numRef>
          </val>
        </ser>
        <ser>
          <idx val="4"/>
          <order val="4"/>
          <tx>
            <strRef>
              <f>'Calcolo'!F4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'Calcolo'!$A$5:$A$54</f>
            </numRef>
          </cat>
          <val>
            <numRef>
              <f>'Calcolo'!$F$5:$F$54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Anno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Valore reale (€ di oggi)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19</row>
      <rowOff>0</rowOff>
    </from>
    <ext cx="7920000" cy="396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0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42" customHeight="1">
      <c r="A1" s="1" t="inlineStr">
        <is>
          <t>Inflazione &amp; potere d'acquisto</t>
        </is>
      </c>
    </row>
    <row r="2" ht="22" customHeight="1">
      <c r="A2" s="2" t="inlineStr">
        <is>
          <t>Didier Tommasi · Analista Finanziario Indipendente · didiertommasi.com</t>
        </is>
      </c>
    </row>
    <row r="3" ht="18" customHeight="1"/>
    <row r="4" ht="32" customHeight="1">
      <c r="A4" s="3" t="inlineStr">
        <is>
          <t>📌 In 30 secondi: €30k fermi 10 anni → €23.436 reali. Su ETF: €38.102. Differenza: €14.700.</t>
        </is>
      </c>
    </row>
    <row r="5" ht="12" customHeight="1"/>
    <row r="6" ht="30" customHeight="1">
      <c r="A6" s="4" t="inlineStr">
        <is>
          <t>➊ Le formule applicate</t>
        </is>
      </c>
    </row>
    <row r="7">
      <c r="A7" s="5" t="inlineStr">
        <is>
          <t>Valore reale del capitale fermo dopo N anni:
  =Capitale / (1 + inflazione%/100) ^ N
Valore reale capitale investito a tasso r% lordo:
  =Capitale × (1 + r_netto)^N / (1 + inflazione%)^N
  dove r_netto = r% − tassazione_su_gain − bollo dossier 0,2%
Tassazione: 12,5% per BTP / titoli Stato whitelist, 26% per ETF azionari,
26% per conti deposito. ETF monetari €STR (XEON, C3M) tipicamente 12,5%.</t>
        </is>
      </c>
    </row>
    <row r="8"/>
    <row r="9"/>
    <row r="10"/>
    <row r="11"/>
    <row r="12" ht="12" customHeight="1"/>
    <row r="13" ht="30" customHeight="1">
      <c r="A13" s="4" t="inlineStr">
        <is>
          <t>➋ Cornice — perché è realistico</t>
        </is>
      </c>
    </row>
    <row r="14">
      <c r="A14" s="6" t="inlineStr">
        <is>
          <t>Inflazione media ITA 2014-2024 secondo ISTAT HICP: 2,1% annuo (con picco 2022 a 8,8%, media riallineata 2024-2025 verso target BCE 2%). I rendimenti nominali storici (BTP 10y ~3,3%, ETF azionario globale ~7% nominale Damodaran NYU Stern S&amp;P 500 1928-2024) sono RIDOTTI dalla tassazione (12,5% o 26%) + bollo dossier 0,2% annuo + inflazione futura. Il foglio mostra il valore REALE in € di oggi: quanto vale il tuo capitale futuro misurato in potere d'acquisto attuale.</t>
        </is>
      </c>
    </row>
    <row r="15"/>
    <row r="16"/>
    <row r="17"/>
    <row r="18"/>
    <row r="19" ht="12" customHeight="1"/>
    <row r="20" ht="28" customHeight="1">
      <c r="A20" s="7" t="inlineStr">
        <is>
          <t>🌐  didiertommasi.com    📩  Newsletter settimanale    📊  Materiale educativo  ·  Non consulenza personalizzata</t>
        </is>
      </c>
    </row>
  </sheetData>
  <mergeCells count="8">
    <mergeCell ref="A2:F2"/>
    <mergeCell ref="A14:F18"/>
    <mergeCell ref="A7:F11"/>
    <mergeCell ref="A13:F13"/>
    <mergeCell ref="A1:F1"/>
    <mergeCell ref="A6:F6"/>
    <mergeCell ref="A4:F4"/>
    <mergeCell ref="A20:F2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70" customWidth="1" min="3" max="3"/>
  </cols>
  <sheetData>
    <row r="1" ht="42" customHeight="1">
      <c r="A1" s="1" t="inlineStr">
        <is>
          <t>📥  Input — i tuoi parametri</t>
        </is>
      </c>
    </row>
    <row r="2" ht="22" customHeight="1">
      <c r="A2" s="2" t="inlineStr">
        <is>
          <t>Modifica le celle gialle. Il foglio 'Risultato' si aggiorna automaticamente.</t>
        </is>
      </c>
    </row>
    <row r="3" ht="18" customHeight="1"/>
    <row r="4" ht="28" customHeight="1">
      <c r="A4" s="8" t="inlineStr">
        <is>
          <t>Parametro</t>
        </is>
      </c>
      <c r="B4" s="8" t="inlineStr">
        <is>
          <t>Valore</t>
        </is>
      </c>
      <c r="C4" s="8" t="inlineStr">
        <is>
          <t>Note</t>
        </is>
      </c>
    </row>
    <row r="5" ht="30" customHeight="1">
      <c r="A5" s="9" t="inlineStr">
        <is>
          <t>Capitale liquido (oggi)</t>
        </is>
      </c>
      <c r="B5" s="10" t="n">
        <v>30000</v>
      </c>
      <c r="C5" s="11" t="inlineStr">
        <is>
          <t>€ — quanto hai fermo sul conto / deposito</t>
        </is>
      </c>
    </row>
    <row r="6" ht="30" customHeight="1">
      <c r="A6" s="9" t="inlineStr">
        <is>
          <t>Orizzonte temporale</t>
        </is>
      </c>
      <c r="B6" s="12" t="n">
        <v>10</v>
      </c>
      <c r="C6" s="11" t="inlineStr">
        <is>
          <t>anni — periodo di confronto</t>
        </is>
      </c>
    </row>
    <row r="7" ht="30" customHeight="1">
      <c r="A7" s="9" t="inlineStr">
        <is>
          <t>Inflazione attesa</t>
        </is>
      </c>
      <c r="B7" s="13" t="n">
        <v>2.5</v>
      </c>
      <c r="C7" s="11" t="inlineStr">
        <is>
          <t>% annuo — media ISTAT HICP storica ~2,1%, target BCE 2%</t>
        </is>
      </c>
    </row>
    <row r="8" ht="30" customHeight="1">
      <c r="A8" s="9" t="inlineStr">
        <is>
          <t>Rend. conto deposito</t>
        </is>
      </c>
      <c r="B8" s="13" t="n">
        <v>2.5</v>
      </c>
      <c r="C8" s="11" t="inlineStr">
        <is>
          <t>% lordo — vincolato 12 mesi tipico 2026</t>
        </is>
      </c>
    </row>
    <row r="9" ht="30" customHeight="1">
      <c r="A9" s="9" t="inlineStr">
        <is>
          <t>Rend. BTP breve / ETF monetario</t>
        </is>
      </c>
      <c r="B9" s="13" t="n">
        <v>2.8</v>
      </c>
      <c r="C9" s="11" t="inlineStr">
        <is>
          <t>% lordo — BTP 1-2 anni o ETF €STR (whitelist 12,5%)</t>
        </is>
      </c>
    </row>
    <row r="10" ht="30" customHeight="1">
      <c r="A10" s="9" t="inlineStr">
        <is>
          <t>Rend. ETF obbligazionario IG</t>
        </is>
      </c>
      <c r="B10" s="13" t="n">
        <v>3.5</v>
      </c>
      <c r="C10" s="11" t="inlineStr">
        <is>
          <t>% lordo — investment grade europeo</t>
        </is>
      </c>
    </row>
    <row r="11" ht="30" customHeight="1">
      <c r="A11" s="9" t="inlineStr">
        <is>
          <t>Rend. ETF azionario globale</t>
        </is>
      </c>
      <c r="B11" s="13" t="n">
        <v>7</v>
      </c>
      <c r="C11" s="11" t="inlineStr">
        <is>
          <t>% lordo NOMINALE — Damodaran S&amp;P 500 1928-2024</t>
        </is>
      </c>
    </row>
  </sheetData>
  <mergeCells count="2">
    <mergeCell ref="A1:D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5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22" customWidth="1" min="2" max="2"/>
    <col width="22" customWidth="1" min="3" max="3"/>
    <col width="26" customWidth="1" min="4" max="4"/>
    <col width="22" customWidth="1" min="5" max="5"/>
    <col width="22" customWidth="1" min="6" max="6"/>
  </cols>
  <sheetData>
    <row r="1" ht="42" customHeight="1">
      <c r="A1" s="1" t="inlineStr">
        <is>
          <t>🧮  Calcolo — valore reale anno per anno</t>
        </is>
      </c>
    </row>
    <row r="2" ht="22" customHeight="1">
      <c r="A2" s="2" t="inlineStr">
        <is>
          <t>Tutti i valori sono in € di oggi (deflazionati per inflazione attesa).</t>
        </is>
      </c>
    </row>
    <row r="3" ht="12" customHeight="1"/>
    <row r="4" ht="36" customHeight="1">
      <c r="A4" s="8" t="inlineStr">
        <is>
          <t>Anno</t>
        </is>
      </c>
      <c r="B4" s="8" t="inlineStr">
        <is>
          <t>Conto fermo (REALE)</t>
        </is>
      </c>
      <c r="C4" s="8" t="inlineStr">
        <is>
          <t>Conto deposito</t>
        </is>
      </c>
      <c r="D4" s="8" t="inlineStr">
        <is>
          <t>BTP / ETF mon. (12,5%)</t>
        </is>
      </c>
      <c r="E4" s="8" t="inlineStr">
        <is>
          <t>ETF obblig. IG (26%)</t>
        </is>
      </c>
      <c r="F4" s="8" t="inlineStr">
        <is>
          <t>ETF azionario (26%)</t>
        </is>
      </c>
    </row>
    <row r="5">
      <c r="A5" s="14" t="n">
        <v>1</v>
      </c>
      <c r="B5" s="15">
        <f>capitale/((1+inflazione_pct/100)^1)</f>
        <v/>
      </c>
      <c r="C5" s="16">
        <f>capitale*((1+(rend_dep/100)*0.74-0.002)^1)/((1+inflazione_pct/100)^1)</f>
        <v/>
      </c>
      <c r="D5" s="16">
        <f>capitale*((1+(rend_btp/100)*0.875-0.002)^1)/((1+inflazione_pct/100)^1)</f>
        <v/>
      </c>
      <c r="E5" s="16">
        <f>capitale*((1+(rend_obbl/100)*0.74-0.002)^1)/((1+inflazione_pct/100)^1)</f>
        <v/>
      </c>
      <c r="F5" s="15">
        <f>capitale*((1+(rend_etf/100)*0.74-0.002)^1)/((1+inflazione_pct/100)^1)</f>
        <v/>
      </c>
    </row>
    <row r="6">
      <c r="A6" s="17" t="n">
        <v>2</v>
      </c>
      <c r="B6" s="18">
        <f>capitale/((1+inflazione_pct/100)^2)</f>
        <v/>
      </c>
      <c r="C6" s="19">
        <f>capitale*((1+(rend_dep/100)*0.74-0.002)^2)/((1+inflazione_pct/100)^2)</f>
        <v/>
      </c>
      <c r="D6" s="19">
        <f>capitale*((1+(rend_btp/100)*0.875-0.002)^2)/((1+inflazione_pct/100)^2)</f>
        <v/>
      </c>
      <c r="E6" s="19">
        <f>capitale*((1+(rend_obbl/100)*0.74-0.002)^2)/((1+inflazione_pct/100)^2)</f>
        <v/>
      </c>
      <c r="F6" s="18">
        <f>capitale*((1+(rend_etf/100)*0.74-0.002)^2)/((1+inflazione_pct/100)^2)</f>
        <v/>
      </c>
    </row>
    <row r="7">
      <c r="A7" s="14" t="n">
        <v>3</v>
      </c>
      <c r="B7" s="15">
        <f>capitale/((1+inflazione_pct/100)^3)</f>
        <v/>
      </c>
      <c r="C7" s="16">
        <f>capitale*((1+(rend_dep/100)*0.74-0.002)^3)/((1+inflazione_pct/100)^3)</f>
        <v/>
      </c>
      <c r="D7" s="16">
        <f>capitale*((1+(rend_btp/100)*0.875-0.002)^3)/((1+inflazione_pct/100)^3)</f>
        <v/>
      </c>
      <c r="E7" s="16">
        <f>capitale*((1+(rend_obbl/100)*0.74-0.002)^3)/((1+inflazione_pct/100)^3)</f>
        <v/>
      </c>
      <c r="F7" s="15">
        <f>capitale*((1+(rend_etf/100)*0.74-0.002)^3)/((1+inflazione_pct/100)^3)</f>
        <v/>
      </c>
    </row>
    <row r="8">
      <c r="A8" s="17" t="n">
        <v>4</v>
      </c>
      <c r="B8" s="18">
        <f>capitale/((1+inflazione_pct/100)^4)</f>
        <v/>
      </c>
      <c r="C8" s="19">
        <f>capitale*((1+(rend_dep/100)*0.74-0.002)^4)/((1+inflazione_pct/100)^4)</f>
        <v/>
      </c>
      <c r="D8" s="19">
        <f>capitale*((1+(rend_btp/100)*0.875-0.002)^4)/((1+inflazione_pct/100)^4)</f>
        <v/>
      </c>
      <c r="E8" s="19">
        <f>capitale*((1+(rend_obbl/100)*0.74-0.002)^4)/((1+inflazione_pct/100)^4)</f>
        <v/>
      </c>
      <c r="F8" s="18">
        <f>capitale*((1+(rend_etf/100)*0.74-0.002)^4)/((1+inflazione_pct/100)^4)</f>
        <v/>
      </c>
    </row>
    <row r="9">
      <c r="A9" s="14" t="n">
        <v>5</v>
      </c>
      <c r="B9" s="15">
        <f>capitale/((1+inflazione_pct/100)^5)</f>
        <v/>
      </c>
      <c r="C9" s="16">
        <f>capitale*((1+(rend_dep/100)*0.74-0.002)^5)/((1+inflazione_pct/100)^5)</f>
        <v/>
      </c>
      <c r="D9" s="16">
        <f>capitale*((1+(rend_btp/100)*0.875-0.002)^5)/((1+inflazione_pct/100)^5)</f>
        <v/>
      </c>
      <c r="E9" s="16">
        <f>capitale*((1+(rend_obbl/100)*0.74-0.002)^5)/((1+inflazione_pct/100)^5)</f>
        <v/>
      </c>
      <c r="F9" s="15">
        <f>capitale*((1+(rend_etf/100)*0.74-0.002)^5)/((1+inflazione_pct/100)^5)</f>
        <v/>
      </c>
    </row>
    <row r="10">
      <c r="A10" s="17" t="n">
        <v>6</v>
      </c>
      <c r="B10" s="18">
        <f>capitale/((1+inflazione_pct/100)^6)</f>
        <v/>
      </c>
      <c r="C10" s="19">
        <f>capitale*((1+(rend_dep/100)*0.74-0.002)^6)/((1+inflazione_pct/100)^6)</f>
        <v/>
      </c>
      <c r="D10" s="19">
        <f>capitale*((1+(rend_btp/100)*0.875-0.002)^6)/((1+inflazione_pct/100)^6)</f>
        <v/>
      </c>
      <c r="E10" s="19">
        <f>capitale*((1+(rend_obbl/100)*0.74-0.002)^6)/((1+inflazione_pct/100)^6)</f>
        <v/>
      </c>
      <c r="F10" s="18">
        <f>capitale*((1+(rend_etf/100)*0.74-0.002)^6)/((1+inflazione_pct/100)^6)</f>
        <v/>
      </c>
    </row>
    <row r="11">
      <c r="A11" s="14" t="n">
        <v>7</v>
      </c>
      <c r="B11" s="15">
        <f>capitale/((1+inflazione_pct/100)^7)</f>
        <v/>
      </c>
      <c r="C11" s="16">
        <f>capitale*((1+(rend_dep/100)*0.74-0.002)^7)/((1+inflazione_pct/100)^7)</f>
        <v/>
      </c>
      <c r="D11" s="16">
        <f>capitale*((1+(rend_btp/100)*0.875-0.002)^7)/((1+inflazione_pct/100)^7)</f>
        <v/>
      </c>
      <c r="E11" s="16">
        <f>capitale*((1+(rend_obbl/100)*0.74-0.002)^7)/((1+inflazione_pct/100)^7)</f>
        <v/>
      </c>
      <c r="F11" s="15">
        <f>capitale*((1+(rend_etf/100)*0.74-0.002)^7)/((1+inflazione_pct/100)^7)</f>
        <v/>
      </c>
    </row>
    <row r="12">
      <c r="A12" s="17" t="n">
        <v>8</v>
      </c>
      <c r="B12" s="18">
        <f>capitale/((1+inflazione_pct/100)^8)</f>
        <v/>
      </c>
      <c r="C12" s="19">
        <f>capitale*((1+(rend_dep/100)*0.74-0.002)^8)/((1+inflazione_pct/100)^8)</f>
        <v/>
      </c>
      <c r="D12" s="19">
        <f>capitale*((1+(rend_btp/100)*0.875-0.002)^8)/((1+inflazione_pct/100)^8)</f>
        <v/>
      </c>
      <c r="E12" s="19">
        <f>capitale*((1+(rend_obbl/100)*0.74-0.002)^8)/((1+inflazione_pct/100)^8)</f>
        <v/>
      </c>
      <c r="F12" s="18">
        <f>capitale*((1+(rend_etf/100)*0.74-0.002)^8)/((1+inflazione_pct/100)^8)</f>
        <v/>
      </c>
    </row>
    <row r="13">
      <c r="A13" s="14" t="n">
        <v>9</v>
      </c>
      <c r="B13" s="15">
        <f>capitale/((1+inflazione_pct/100)^9)</f>
        <v/>
      </c>
      <c r="C13" s="16">
        <f>capitale*((1+(rend_dep/100)*0.74-0.002)^9)/((1+inflazione_pct/100)^9)</f>
        <v/>
      </c>
      <c r="D13" s="16">
        <f>capitale*((1+(rend_btp/100)*0.875-0.002)^9)/((1+inflazione_pct/100)^9)</f>
        <v/>
      </c>
      <c r="E13" s="16">
        <f>capitale*((1+(rend_obbl/100)*0.74-0.002)^9)/((1+inflazione_pct/100)^9)</f>
        <v/>
      </c>
      <c r="F13" s="15">
        <f>capitale*((1+(rend_etf/100)*0.74-0.002)^9)/((1+inflazione_pct/100)^9)</f>
        <v/>
      </c>
    </row>
    <row r="14">
      <c r="A14" s="17" t="n">
        <v>10</v>
      </c>
      <c r="B14" s="18">
        <f>capitale/((1+inflazione_pct/100)^10)</f>
        <v/>
      </c>
      <c r="C14" s="19">
        <f>capitale*((1+(rend_dep/100)*0.74-0.002)^10)/((1+inflazione_pct/100)^10)</f>
        <v/>
      </c>
      <c r="D14" s="19">
        <f>capitale*((1+(rend_btp/100)*0.875-0.002)^10)/((1+inflazione_pct/100)^10)</f>
        <v/>
      </c>
      <c r="E14" s="19">
        <f>capitale*((1+(rend_obbl/100)*0.74-0.002)^10)/((1+inflazione_pct/100)^10)</f>
        <v/>
      </c>
      <c r="F14" s="18">
        <f>capitale*((1+(rend_etf/100)*0.74-0.002)^10)/((1+inflazione_pct/100)^10)</f>
        <v/>
      </c>
    </row>
    <row r="15">
      <c r="A15" s="14" t="n">
        <v>11</v>
      </c>
      <c r="B15" s="15">
        <f>capitale/((1+inflazione_pct/100)^11)</f>
        <v/>
      </c>
      <c r="C15" s="16">
        <f>capitale*((1+(rend_dep/100)*0.74-0.002)^11)/((1+inflazione_pct/100)^11)</f>
        <v/>
      </c>
      <c r="D15" s="16">
        <f>capitale*((1+(rend_btp/100)*0.875-0.002)^11)/((1+inflazione_pct/100)^11)</f>
        <v/>
      </c>
      <c r="E15" s="16">
        <f>capitale*((1+(rend_obbl/100)*0.74-0.002)^11)/((1+inflazione_pct/100)^11)</f>
        <v/>
      </c>
      <c r="F15" s="15">
        <f>capitale*((1+(rend_etf/100)*0.74-0.002)^11)/((1+inflazione_pct/100)^11)</f>
        <v/>
      </c>
    </row>
    <row r="16">
      <c r="A16" s="17" t="n">
        <v>12</v>
      </c>
      <c r="B16" s="18">
        <f>capitale/((1+inflazione_pct/100)^12)</f>
        <v/>
      </c>
      <c r="C16" s="19">
        <f>capitale*((1+(rend_dep/100)*0.74-0.002)^12)/((1+inflazione_pct/100)^12)</f>
        <v/>
      </c>
      <c r="D16" s="19">
        <f>capitale*((1+(rend_btp/100)*0.875-0.002)^12)/((1+inflazione_pct/100)^12)</f>
        <v/>
      </c>
      <c r="E16" s="19">
        <f>capitale*((1+(rend_obbl/100)*0.74-0.002)^12)/((1+inflazione_pct/100)^12)</f>
        <v/>
      </c>
      <c r="F16" s="18">
        <f>capitale*((1+(rend_etf/100)*0.74-0.002)^12)/((1+inflazione_pct/100)^12)</f>
        <v/>
      </c>
    </row>
    <row r="17">
      <c r="A17" s="14" t="n">
        <v>13</v>
      </c>
      <c r="B17" s="15">
        <f>capitale/((1+inflazione_pct/100)^13)</f>
        <v/>
      </c>
      <c r="C17" s="16">
        <f>capitale*((1+(rend_dep/100)*0.74-0.002)^13)/((1+inflazione_pct/100)^13)</f>
        <v/>
      </c>
      <c r="D17" s="16">
        <f>capitale*((1+(rend_btp/100)*0.875-0.002)^13)/((1+inflazione_pct/100)^13)</f>
        <v/>
      </c>
      <c r="E17" s="16">
        <f>capitale*((1+(rend_obbl/100)*0.74-0.002)^13)/((1+inflazione_pct/100)^13)</f>
        <v/>
      </c>
      <c r="F17" s="15">
        <f>capitale*((1+(rend_etf/100)*0.74-0.002)^13)/((1+inflazione_pct/100)^13)</f>
        <v/>
      </c>
    </row>
    <row r="18">
      <c r="A18" s="17" t="n">
        <v>14</v>
      </c>
      <c r="B18" s="18">
        <f>capitale/((1+inflazione_pct/100)^14)</f>
        <v/>
      </c>
      <c r="C18" s="19">
        <f>capitale*((1+(rend_dep/100)*0.74-0.002)^14)/((1+inflazione_pct/100)^14)</f>
        <v/>
      </c>
      <c r="D18" s="19">
        <f>capitale*((1+(rend_btp/100)*0.875-0.002)^14)/((1+inflazione_pct/100)^14)</f>
        <v/>
      </c>
      <c r="E18" s="19">
        <f>capitale*((1+(rend_obbl/100)*0.74-0.002)^14)/((1+inflazione_pct/100)^14)</f>
        <v/>
      </c>
      <c r="F18" s="18">
        <f>capitale*((1+(rend_etf/100)*0.74-0.002)^14)/((1+inflazione_pct/100)^14)</f>
        <v/>
      </c>
    </row>
    <row r="19">
      <c r="A19" s="14" t="n">
        <v>15</v>
      </c>
      <c r="B19" s="15">
        <f>capitale/((1+inflazione_pct/100)^15)</f>
        <v/>
      </c>
      <c r="C19" s="16">
        <f>capitale*((1+(rend_dep/100)*0.74-0.002)^15)/((1+inflazione_pct/100)^15)</f>
        <v/>
      </c>
      <c r="D19" s="16">
        <f>capitale*((1+(rend_btp/100)*0.875-0.002)^15)/((1+inflazione_pct/100)^15)</f>
        <v/>
      </c>
      <c r="E19" s="16">
        <f>capitale*((1+(rend_obbl/100)*0.74-0.002)^15)/((1+inflazione_pct/100)^15)</f>
        <v/>
      </c>
      <c r="F19" s="15">
        <f>capitale*((1+(rend_etf/100)*0.74-0.002)^15)/((1+inflazione_pct/100)^15)</f>
        <v/>
      </c>
    </row>
    <row r="20">
      <c r="A20" s="17" t="n">
        <v>16</v>
      </c>
      <c r="B20" s="18">
        <f>capitale/((1+inflazione_pct/100)^16)</f>
        <v/>
      </c>
      <c r="C20" s="19">
        <f>capitale*((1+(rend_dep/100)*0.74-0.002)^16)/((1+inflazione_pct/100)^16)</f>
        <v/>
      </c>
      <c r="D20" s="19">
        <f>capitale*((1+(rend_btp/100)*0.875-0.002)^16)/((1+inflazione_pct/100)^16)</f>
        <v/>
      </c>
      <c r="E20" s="19">
        <f>capitale*((1+(rend_obbl/100)*0.74-0.002)^16)/((1+inflazione_pct/100)^16)</f>
        <v/>
      </c>
      <c r="F20" s="18">
        <f>capitale*((1+(rend_etf/100)*0.74-0.002)^16)/((1+inflazione_pct/100)^16)</f>
        <v/>
      </c>
    </row>
    <row r="21">
      <c r="A21" s="14" t="n">
        <v>17</v>
      </c>
      <c r="B21" s="15">
        <f>capitale/((1+inflazione_pct/100)^17)</f>
        <v/>
      </c>
      <c r="C21" s="16">
        <f>capitale*((1+(rend_dep/100)*0.74-0.002)^17)/((1+inflazione_pct/100)^17)</f>
        <v/>
      </c>
      <c r="D21" s="16">
        <f>capitale*((1+(rend_btp/100)*0.875-0.002)^17)/((1+inflazione_pct/100)^17)</f>
        <v/>
      </c>
      <c r="E21" s="16">
        <f>capitale*((1+(rend_obbl/100)*0.74-0.002)^17)/((1+inflazione_pct/100)^17)</f>
        <v/>
      </c>
      <c r="F21" s="15">
        <f>capitale*((1+(rend_etf/100)*0.74-0.002)^17)/((1+inflazione_pct/100)^17)</f>
        <v/>
      </c>
    </row>
    <row r="22">
      <c r="A22" s="17" t="n">
        <v>18</v>
      </c>
      <c r="B22" s="18">
        <f>capitale/((1+inflazione_pct/100)^18)</f>
        <v/>
      </c>
      <c r="C22" s="19">
        <f>capitale*((1+(rend_dep/100)*0.74-0.002)^18)/((1+inflazione_pct/100)^18)</f>
        <v/>
      </c>
      <c r="D22" s="19">
        <f>capitale*((1+(rend_btp/100)*0.875-0.002)^18)/((1+inflazione_pct/100)^18)</f>
        <v/>
      </c>
      <c r="E22" s="19">
        <f>capitale*((1+(rend_obbl/100)*0.74-0.002)^18)/((1+inflazione_pct/100)^18)</f>
        <v/>
      </c>
      <c r="F22" s="18">
        <f>capitale*((1+(rend_etf/100)*0.74-0.002)^18)/((1+inflazione_pct/100)^18)</f>
        <v/>
      </c>
    </row>
    <row r="23">
      <c r="A23" s="14" t="n">
        <v>19</v>
      </c>
      <c r="B23" s="15">
        <f>capitale/((1+inflazione_pct/100)^19)</f>
        <v/>
      </c>
      <c r="C23" s="16">
        <f>capitale*((1+(rend_dep/100)*0.74-0.002)^19)/((1+inflazione_pct/100)^19)</f>
        <v/>
      </c>
      <c r="D23" s="16">
        <f>capitale*((1+(rend_btp/100)*0.875-0.002)^19)/((1+inflazione_pct/100)^19)</f>
        <v/>
      </c>
      <c r="E23" s="16">
        <f>capitale*((1+(rend_obbl/100)*0.74-0.002)^19)/((1+inflazione_pct/100)^19)</f>
        <v/>
      </c>
      <c r="F23" s="15">
        <f>capitale*((1+(rend_etf/100)*0.74-0.002)^19)/((1+inflazione_pct/100)^19)</f>
        <v/>
      </c>
    </row>
    <row r="24">
      <c r="A24" s="17" t="n">
        <v>20</v>
      </c>
      <c r="B24" s="18">
        <f>capitale/((1+inflazione_pct/100)^20)</f>
        <v/>
      </c>
      <c r="C24" s="19">
        <f>capitale*((1+(rend_dep/100)*0.74-0.002)^20)/((1+inflazione_pct/100)^20)</f>
        <v/>
      </c>
      <c r="D24" s="19">
        <f>capitale*((1+(rend_btp/100)*0.875-0.002)^20)/((1+inflazione_pct/100)^20)</f>
        <v/>
      </c>
      <c r="E24" s="19">
        <f>capitale*((1+(rend_obbl/100)*0.74-0.002)^20)/((1+inflazione_pct/100)^20)</f>
        <v/>
      </c>
      <c r="F24" s="18">
        <f>capitale*((1+(rend_etf/100)*0.74-0.002)^20)/((1+inflazione_pct/100)^20)</f>
        <v/>
      </c>
    </row>
    <row r="25">
      <c r="A25" s="14" t="n">
        <v>21</v>
      </c>
      <c r="B25" s="15">
        <f>capitale/((1+inflazione_pct/100)^21)</f>
        <v/>
      </c>
      <c r="C25" s="16">
        <f>capitale*((1+(rend_dep/100)*0.74-0.002)^21)/((1+inflazione_pct/100)^21)</f>
        <v/>
      </c>
      <c r="D25" s="16">
        <f>capitale*((1+(rend_btp/100)*0.875-0.002)^21)/((1+inflazione_pct/100)^21)</f>
        <v/>
      </c>
      <c r="E25" s="16">
        <f>capitale*((1+(rend_obbl/100)*0.74-0.002)^21)/((1+inflazione_pct/100)^21)</f>
        <v/>
      </c>
      <c r="F25" s="15">
        <f>capitale*((1+(rend_etf/100)*0.74-0.002)^21)/((1+inflazione_pct/100)^21)</f>
        <v/>
      </c>
    </row>
    <row r="26">
      <c r="A26" s="17" t="n">
        <v>22</v>
      </c>
      <c r="B26" s="18">
        <f>capitale/((1+inflazione_pct/100)^22)</f>
        <v/>
      </c>
      <c r="C26" s="19">
        <f>capitale*((1+(rend_dep/100)*0.74-0.002)^22)/((1+inflazione_pct/100)^22)</f>
        <v/>
      </c>
      <c r="D26" s="19">
        <f>capitale*((1+(rend_btp/100)*0.875-0.002)^22)/((1+inflazione_pct/100)^22)</f>
        <v/>
      </c>
      <c r="E26" s="19">
        <f>capitale*((1+(rend_obbl/100)*0.74-0.002)^22)/((1+inflazione_pct/100)^22)</f>
        <v/>
      </c>
      <c r="F26" s="18">
        <f>capitale*((1+(rend_etf/100)*0.74-0.002)^22)/((1+inflazione_pct/100)^22)</f>
        <v/>
      </c>
    </row>
    <row r="27">
      <c r="A27" s="14" t="n">
        <v>23</v>
      </c>
      <c r="B27" s="15">
        <f>capitale/((1+inflazione_pct/100)^23)</f>
        <v/>
      </c>
      <c r="C27" s="16">
        <f>capitale*((1+(rend_dep/100)*0.74-0.002)^23)/((1+inflazione_pct/100)^23)</f>
        <v/>
      </c>
      <c r="D27" s="16">
        <f>capitale*((1+(rend_btp/100)*0.875-0.002)^23)/((1+inflazione_pct/100)^23)</f>
        <v/>
      </c>
      <c r="E27" s="16">
        <f>capitale*((1+(rend_obbl/100)*0.74-0.002)^23)/((1+inflazione_pct/100)^23)</f>
        <v/>
      </c>
      <c r="F27" s="15">
        <f>capitale*((1+(rend_etf/100)*0.74-0.002)^23)/((1+inflazione_pct/100)^23)</f>
        <v/>
      </c>
    </row>
    <row r="28">
      <c r="A28" s="17" t="n">
        <v>24</v>
      </c>
      <c r="B28" s="18">
        <f>capitale/((1+inflazione_pct/100)^24)</f>
        <v/>
      </c>
      <c r="C28" s="19">
        <f>capitale*((1+(rend_dep/100)*0.74-0.002)^24)/((1+inflazione_pct/100)^24)</f>
        <v/>
      </c>
      <c r="D28" s="19">
        <f>capitale*((1+(rend_btp/100)*0.875-0.002)^24)/((1+inflazione_pct/100)^24)</f>
        <v/>
      </c>
      <c r="E28" s="19">
        <f>capitale*((1+(rend_obbl/100)*0.74-0.002)^24)/((1+inflazione_pct/100)^24)</f>
        <v/>
      </c>
      <c r="F28" s="18">
        <f>capitale*((1+(rend_etf/100)*0.74-0.002)^24)/((1+inflazione_pct/100)^24)</f>
        <v/>
      </c>
    </row>
    <row r="29">
      <c r="A29" s="14" t="n">
        <v>25</v>
      </c>
      <c r="B29" s="15">
        <f>capitale/((1+inflazione_pct/100)^25)</f>
        <v/>
      </c>
      <c r="C29" s="16">
        <f>capitale*((1+(rend_dep/100)*0.74-0.002)^25)/((1+inflazione_pct/100)^25)</f>
        <v/>
      </c>
      <c r="D29" s="16">
        <f>capitale*((1+(rend_btp/100)*0.875-0.002)^25)/((1+inflazione_pct/100)^25)</f>
        <v/>
      </c>
      <c r="E29" s="16">
        <f>capitale*((1+(rend_obbl/100)*0.74-0.002)^25)/((1+inflazione_pct/100)^25)</f>
        <v/>
      </c>
      <c r="F29" s="15">
        <f>capitale*((1+(rend_etf/100)*0.74-0.002)^25)/((1+inflazione_pct/100)^25)</f>
        <v/>
      </c>
    </row>
    <row r="30">
      <c r="A30" s="17" t="n">
        <v>26</v>
      </c>
      <c r="B30" s="18">
        <f>capitale/((1+inflazione_pct/100)^26)</f>
        <v/>
      </c>
      <c r="C30" s="19">
        <f>capitale*((1+(rend_dep/100)*0.74-0.002)^26)/((1+inflazione_pct/100)^26)</f>
        <v/>
      </c>
      <c r="D30" s="19">
        <f>capitale*((1+(rend_btp/100)*0.875-0.002)^26)/((1+inflazione_pct/100)^26)</f>
        <v/>
      </c>
      <c r="E30" s="19">
        <f>capitale*((1+(rend_obbl/100)*0.74-0.002)^26)/((1+inflazione_pct/100)^26)</f>
        <v/>
      </c>
      <c r="F30" s="18">
        <f>capitale*((1+(rend_etf/100)*0.74-0.002)^26)/((1+inflazione_pct/100)^26)</f>
        <v/>
      </c>
    </row>
    <row r="31">
      <c r="A31" s="14" t="n">
        <v>27</v>
      </c>
      <c r="B31" s="15">
        <f>capitale/((1+inflazione_pct/100)^27)</f>
        <v/>
      </c>
      <c r="C31" s="16">
        <f>capitale*((1+(rend_dep/100)*0.74-0.002)^27)/((1+inflazione_pct/100)^27)</f>
        <v/>
      </c>
      <c r="D31" s="16">
        <f>capitale*((1+(rend_btp/100)*0.875-0.002)^27)/((1+inflazione_pct/100)^27)</f>
        <v/>
      </c>
      <c r="E31" s="16">
        <f>capitale*((1+(rend_obbl/100)*0.74-0.002)^27)/((1+inflazione_pct/100)^27)</f>
        <v/>
      </c>
      <c r="F31" s="15">
        <f>capitale*((1+(rend_etf/100)*0.74-0.002)^27)/((1+inflazione_pct/100)^27)</f>
        <v/>
      </c>
    </row>
    <row r="32">
      <c r="A32" s="17" t="n">
        <v>28</v>
      </c>
      <c r="B32" s="18">
        <f>capitale/((1+inflazione_pct/100)^28)</f>
        <v/>
      </c>
      <c r="C32" s="19">
        <f>capitale*((1+(rend_dep/100)*0.74-0.002)^28)/((1+inflazione_pct/100)^28)</f>
        <v/>
      </c>
      <c r="D32" s="19">
        <f>capitale*((1+(rend_btp/100)*0.875-0.002)^28)/((1+inflazione_pct/100)^28)</f>
        <v/>
      </c>
      <c r="E32" s="19">
        <f>capitale*((1+(rend_obbl/100)*0.74-0.002)^28)/((1+inflazione_pct/100)^28)</f>
        <v/>
      </c>
      <c r="F32" s="18">
        <f>capitale*((1+(rend_etf/100)*0.74-0.002)^28)/((1+inflazione_pct/100)^28)</f>
        <v/>
      </c>
    </row>
    <row r="33">
      <c r="A33" s="14" t="n">
        <v>29</v>
      </c>
      <c r="B33" s="15">
        <f>capitale/((1+inflazione_pct/100)^29)</f>
        <v/>
      </c>
      <c r="C33" s="16">
        <f>capitale*((1+(rend_dep/100)*0.74-0.002)^29)/((1+inflazione_pct/100)^29)</f>
        <v/>
      </c>
      <c r="D33" s="16">
        <f>capitale*((1+(rend_btp/100)*0.875-0.002)^29)/((1+inflazione_pct/100)^29)</f>
        <v/>
      </c>
      <c r="E33" s="16">
        <f>capitale*((1+(rend_obbl/100)*0.74-0.002)^29)/((1+inflazione_pct/100)^29)</f>
        <v/>
      </c>
      <c r="F33" s="15">
        <f>capitale*((1+(rend_etf/100)*0.74-0.002)^29)/((1+inflazione_pct/100)^29)</f>
        <v/>
      </c>
    </row>
    <row r="34">
      <c r="A34" s="17" t="n">
        <v>30</v>
      </c>
      <c r="B34" s="18">
        <f>capitale/((1+inflazione_pct/100)^30)</f>
        <v/>
      </c>
      <c r="C34" s="19">
        <f>capitale*((1+(rend_dep/100)*0.74-0.002)^30)/((1+inflazione_pct/100)^30)</f>
        <v/>
      </c>
      <c r="D34" s="19">
        <f>capitale*((1+(rend_btp/100)*0.875-0.002)^30)/((1+inflazione_pct/100)^30)</f>
        <v/>
      </c>
      <c r="E34" s="19">
        <f>capitale*((1+(rend_obbl/100)*0.74-0.002)^30)/((1+inflazione_pct/100)^30)</f>
        <v/>
      </c>
      <c r="F34" s="18">
        <f>capitale*((1+(rend_etf/100)*0.74-0.002)^30)/((1+inflazione_pct/100)^30)</f>
        <v/>
      </c>
    </row>
    <row r="35">
      <c r="A35" s="14" t="n">
        <v>31</v>
      </c>
      <c r="B35" s="15">
        <f>capitale/((1+inflazione_pct/100)^31)</f>
        <v/>
      </c>
      <c r="C35" s="16">
        <f>capitale*((1+(rend_dep/100)*0.74-0.002)^31)/((1+inflazione_pct/100)^31)</f>
        <v/>
      </c>
      <c r="D35" s="16">
        <f>capitale*((1+(rend_btp/100)*0.875-0.002)^31)/((1+inflazione_pct/100)^31)</f>
        <v/>
      </c>
      <c r="E35" s="16">
        <f>capitale*((1+(rend_obbl/100)*0.74-0.002)^31)/((1+inflazione_pct/100)^31)</f>
        <v/>
      </c>
      <c r="F35" s="15">
        <f>capitale*((1+(rend_etf/100)*0.74-0.002)^31)/((1+inflazione_pct/100)^31)</f>
        <v/>
      </c>
    </row>
    <row r="36">
      <c r="A36" s="17" t="n">
        <v>32</v>
      </c>
      <c r="B36" s="18">
        <f>capitale/((1+inflazione_pct/100)^32)</f>
        <v/>
      </c>
      <c r="C36" s="19">
        <f>capitale*((1+(rend_dep/100)*0.74-0.002)^32)/((1+inflazione_pct/100)^32)</f>
        <v/>
      </c>
      <c r="D36" s="19">
        <f>capitale*((1+(rend_btp/100)*0.875-0.002)^32)/((1+inflazione_pct/100)^32)</f>
        <v/>
      </c>
      <c r="E36" s="19">
        <f>capitale*((1+(rend_obbl/100)*0.74-0.002)^32)/((1+inflazione_pct/100)^32)</f>
        <v/>
      </c>
      <c r="F36" s="18">
        <f>capitale*((1+(rend_etf/100)*0.74-0.002)^32)/((1+inflazione_pct/100)^32)</f>
        <v/>
      </c>
    </row>
    <row r="37">
      <c r="A37" s="14" t="n">
        <v>33</v>
      </c>
      <c r="B37" s="15">
        <f>capitale/((1+inflazione_pct/100)^33)</f>
        <v/>
      </c>
      <c r="C37" s="16">
        <f>capitale*((1+(rend_dep/100)*0.74-0.002)^33)/((1+inflazione_pct/100)^33)</f>
        <v/>
      </c>
      <c r="D37" s="16">
        <f>capitale*((1+(rend_btp/100)*0.875-0.002)^33)/((1+inflazione_pct/100)^33)</f>
        <v/>
      </c>
      <c r="E37" s="16">
        <f>capitale*((1+(rend_obbl/100)*0.74-0.002)^33)/((1+inflazione_pct/100)^33)</f>
        <v/>
      </c>
      <c r="F37" s="15">
        <f>capitale*((1+(rend_etf/100)*0.74-0.002)^33)/((1+inflazione_pct/100)^33)</f>
        <v/>
      </c>
    </row>
    <row r="38">
      <c r="A38" s="17" t="n">
        <v>34</v>
      </c>
      <c r="B38" s="18">
        <f>capitale/((1+inflazione_pct/100)^34)</f>
        <v/>
      </c>
      <c r="C38" s="19">
        <f>capitale*((1+(rend_dep/100)*0.74-0.002)^34)/((1+inflazione_pct/100)^34)</f>
        <v/>
      </c>
      <c r="D38" s="19">
        <f>capitale*((1+(rend_btp/100)*0.875-0.002)^34)/((1+inflazione_pct/100)^34)</f>
        <v/>
      </c>
      <c r="E38" s="19">
        <f>capitale*((1+(rend_obbl/100)*0.74-0.002)^34)/((1+inflazione_pct/100)^34)</f>
        <v/>
      </c>
      <c r="F38" s="18">
        <f>capitale*((1+(rend_etf/100)*0.74-0.002)^34)/((1+inflazione_pct/100)^34)</f>
        <v/>
      </c>
    </row>
    <row r="39">
      <c r="A39" s="14" t="n">
        <v>35</v>
      </c>
      <c r="B39" s="15">
        <f>capitale/((1+inflazione_pct/100)^35)</f>
        <v/>
      </c>
      <c r="C39" s="16">
        <f>capitale*((1+(rend_dep/100)*0.74-0.002)^35)/((1+inflazione_pct/100)^35)</f>
        <v/>
      </c>
      <c r="D39" s="16">
        <f>capitale*((1+(rend_btp/100)*0.875-0.002)^35)/((1+inflazione_pct/100)^35)</f>
        <v/>
      </c>
      <c r="E39" s="16">
        <f>capitale*((1+(rend_obbl/100)*0.74-0.002)^35)/((1+inflazione_pct/100)^35)</f>
        <v/>
      </c>
      <c r="F39" s="15">
        <f>capitale*((1+(rend_etf/100)*0.74-0.002)^35)/((1+inflazione_pct/100)^35)</f>
        <v/>
      </c>
    </row>
    <row r="40">
      <c r="A40" s="17" t="n">
        <v>36</v>
      </c>
      <c r="B40" s="18">
        <f>capitale/((1+inflazione_pct/100)^36)</f>
        <v/>
      </c>
      <c r="C40" s="19">
        <f>capitale*((1+(rend_dep/100)*0.74-0.002)^36)/((1+inflazione_pct/100)^36)</f>
        <v/>
      </c>
      <c r="D40" s="19">
        <f>capitale*((1+(rend_btp/100)*0.875-0.002)^36)/((1+inflazione_pct/100)^36)</f>
        <v/>
      </c>
      <c r="E40" s="19">
        <f>capitale*((1+(rend_obbl/100)*0.74-0.002)^36)/((1+inflazione_pct/100)^36)</f>
        <v/>
      </c>
      <c r="F40" s="18">
        <f>capitale*((1+(rend_etf/100)*0.74-0.002)^36)/((1+inflazione_pct/100)^36)</f>
        <v/>
      </c>
    </row>
    <row r="41">
      <c r="A41" s="14" t="n">
        <v>37</v>
      </c>
      <c r="B41" s="15">
        <f>capitale/((1+inflazione_pct/100)^37)</f>
        <v/>
      </c>
      <c r="C41" s="16">
        <f>capitale*((1+(rend_dep/100)*0.74-0.002)^37)/((1+inflazione_pct/100)^37)</f>
        <v/>
      </c>
      <c r="D41" s="16">
        <f>capitale*((1+(rend_btp/100)*0.875-0.002)^37)/((1+inflazione_pct/100)^37)</f>
        <v/>
      </c>
      <c r="E41" s="16">
        <f>capitale*((1+(rend_obbl/100)*0.74-0.002)^37)/((1+inflazione_pct/100)^37)</f>
        <v/>
      </c>
      <c r="F41" s="15">
        <f>capitale*((1+(rend_etf/100)*0.74-0.002)^37)/((1+inflazione_pct/100)^37)</f>
        <v/>
      </c>
    </row>
    <row r="42">
      <c r="A42" s="17" t="n">
        <v>38</v>
      </c>
      <c r="B42" s="18">
        <f>capitale/((1+inflazione_pct/100)^38)</f>
        <v/>
      </c>
      <c r="C42" s="19">
        <f>capitale*((1+(rend_dep/100)*0.74-0.002)^38)/((1+inflazione_pct/100)^38)</f>
        <v/>
      </c>
      <c r="D42" s="19">
        <f>capitale*((1+(rend_btp/100)*0.875-0.002)^38)/((1+inflazione_pct/100)^38)</f>
        <v/>
      </c>
      <c r="E42" s="19">
        <f>capitale*((1+(rend_obbl/100)*0.74-0.002)^38)/((1+inflazione_pct/100)^38)</f>
        <v/>
      </c>
      <c r="F42" s="18">
        <f>capitale*((1+(rend_etf/100)*0.74-0.002)^38)/((1+inflazione_pct/100)^38)</f>
        <v/>
      </c>
    </row>
    <row r="43">
      <c r="A43" s="14" t="n">
        <v>39</v>
      </c>
      <c r="B43" s="15">
        <f>capitale/((1+inflazione_pct/100)^39)</f>
        <v/>
      </c>
      <c r="C43" s="16">
        <f>capitale*((1+(rend_dep/100)*0.74-0.002)^39)/((1+inflazione_pct/100)^39)</f>
        <v/>
      </c>
      <c r="D43" s="16">
        <f>capitale*((1+(rend_btp/100)*0.875-0.002)^39)/((1+inflazione_pct/100)^39)</f>
        <v/>
      </c>
      <c r="E43" s="16">
        <f>capitale*((1+(rend_obbl/100)*0.74-0.002)^39)/((1+inflazione_pct/100)^39)</f>
        <v/>
      </c>
      <c r="F43" s="15">
        <f>capitale*((1+(rend_etf/100)*0.74-0.002)^39)/((1+inflazione_pct/100)^39)</f>
        <v/>
      </c>
    </row>
    <row r="44">
      <c r="A44" s="17" t="n">
        <v>40</v>
      </c>
      <c r="B44" s="18">
        <f>capitale/((1+inflazione_pct/100)^40)</f>
        <v/>
      </c>
      <c r="C44" s="19">
        <f>capitale*((1+(rend_dep/100)*0.74-0.002)^40)/((1+inflazione_pct/100)^40)</f>
        <v/>
      </c>
      <c r="D44" s="19">
        <f>capitale*((1+(rend_btp/100)*0.875-0.002)^40)/((1+inflazione_pct/100)^40)</f>
        <v/>
      </c>
      <c r="E44" s="19">
        <f>capitale*((1+(rend_obbl/100)*0.74-0.002)^40)/((1+inflazione_pct/100)^40)</f>
        <v/>
      </c>
      <c r="F44" s="18">
        <f>capitale*((1+(rend_etf/100)*0.74-0.002)^40)/((1+inflazione_pct/100)^40)</f>
        <v/>
      </c>
    </row>
    <row r="45">
      <c r="A45" s="14" t="n">
        <v>41</v>
      </c>
      <c r="B45" s="15">
        <f>capitale/((1+inflazione_pct/100)^41)</f>
        <v/>
      </c>
      <c r="C45" s="16">
        <f>capitale*((1+(rend_dep/100)*0.74-0.002)^41)/((1+inflazione_pct/100)^41)</f>
        <v/>
      </c>
      <c r="D45" s="16">
        <f>capitale*((1+(rend_btp/100)*0.875-0.002)^41)/((1+inflazione_pct/100)^41)</f>
        <v/>
      </c>
      <c r="E45" s="16">
        <f>capitale*((1+(rend_obbl/100)*0.74-0.002)^41)/((1+inflazione_pct/100)^41)</f>
        <v/>
      </c>
      <c r="F45" s="15">
        <f>capitale*((1+(rend_etf/100)*0.74-0.002)^41)/((1+inflazione_pct/100)^41)</f>
        <v/>
      </c>
    </row>
    <row r="46">
      <c r="A46" s="17" t="n">
        <v>42</v>
      </c>
      <c r="B46" s="18">
        <f>capitale/((1+inflazione_pct/100)^42)</f>
        <v/>
      </c>
      <c r="C46" s="19">
        <f>capitale*((1+(rend_dep/100)*0.74-0.002)^42)/((1+inflazione_pct/100)^42)</f>
        <v/>
      </c>
      <c r="D46" s="19">
        <f>capitale*((1+(rend_btp/100)*0.875-0.002)^42)/((1+inflazione_pct/100)^42)</f>
        <v/>
      </c>
      <c r="E46" s="19">
        <f>capitale*((1+(rend_obbl/100)*0.74-0.002)^42)/((1+inflazione_pct/100)^42)</f>
        <v/>
      </c>
      <c r="F46" s="18">
        <f>capitale*((1+(rend_etf/100)*0.74-0.002)^42)/((1+inflazione_pct/100)^42)</f>
        <v/>
      </c>
    </row>
    <row r="47">
      <c r="A47" s="14" t="n">
        <v>43</v>
      </c>
      <c r="B47" s="15">
        <f>capitale/((1+inflazione_pct/100)^43)</f>
        <v/>
      </c>
      <c r="C47" s="16">
        <f>capitale*((1+(rend_dep/100)*0.74-0.002)^43)/((1+inflazione_pct/100)^43)</f>
        <v/>
      </c>
      <c r="D47" s="16">
        <f>capitale*((1+(rend_btp/100)*0.875-0.002)^43)/((1+inflazione_pct/100)^43)</f>
        <v/>
      </c>
      <c r="E47" s="16">
        <f>capitale*((1+(rend_obbl/100)*0.74-0.002)^43)/((1+inflazione_pct/100)^43)</f>
        <v/>
      </c>
      <c r="F47" s="15">
        <f>capitale*((1+(rend_etf/100)*0.74-0.002)^43)/((1+inflazione_pct/100)^43)</f>
        <v/>
      </c>
    </row>
    <row r="48">
      <c r="A48" s="17" t="n">
        <v>44</v>
      </c>
      <c r="B48" s="18">
        <f>capitale/((1+inflazione_pct/100)^44)</f>
        <v/>
      </c>
      <c r="C48" s="19">
        <f>capitale*((1+(rend_dep/100)*0.74-0.002)^44)/((1+inflazione_pct/100)^44)</f>
        <v/>
      </c>
      <c r="D48" s="19">
        <f>capitale*((1+(rend_btp/100)*0.875-0.002)^44)/((1+inflazione_pct/100)^44)</f>
        <v/>
      </c>
      <c r="E48" s="19">
        <f>capitale*((1+(rend_obbl/100)*0.74-0.002)^44)/((1+inflazione_pct/100)^44)</f>
        <v/>
      </c>
      <c r="F48" s="18">
        <f>capitale*((1+(rend_etf/100)*0.74-0.002)^44)/((1+inflazione_pct/100)^44)</f>
        <v/>
      </c>
    </row>
    <row r="49">
      <c r="A49" s="14" t="n">
        <v>45</v>
      </c>
      <c r="B49" s="15">
        <f>capitale/((1+inflazione_pct/100)^45)</f>
        <v/>
      </c>
      <c r="C49" s="16">
        <f>capitale*((1+(rend_dep/100)*0.74-0.002)^45)/((1+inflazione_pct/100)^45)</f>
        <v/>
      </c>
      <c r="D49" s="16">
        <f>capitale*((1+(rend_btp/100)*0.875-0.002)^45)/((1+inflazione_pct/100)^45)</f>
        <v/>
      </c>
      <c r="E49" s="16">
        <f>capitale*((1+(rend_obbl/100)*0.74-0.002)^45)/((1+inflazione_pct/100)^45)</f>
        <v/>
      </c>
      <c r="F49" s="15">
        <f>capitale*((1+(rend_etf/100)*0.74-0.002)^45)/((1+inflazione_pct/100)^45)</f>
        <v/>
      </c>
    </row>
    <row r="50">
      <c r="A50" s="17" t="n">
        <v>46</v>
      </c>
      <c r="B50" s="18">
        <f>capitale/((1+inflazione_pct/100)^46)</f>
        <v/>
      </c>
      <c r="C50" s="19">
        <f>capitale*((1+(rend_dep/100)*0.74-0.002)^46)/((1+inflazione_pct/100)^46)</f>
        <v/>
      </c>
      <c r="D50" s="19">
        <f>capitale*((1+(rend_btp/100)*0.875-0.002)^46)/((1+inflazione_pct/100)^46)</f>
        <v/>
      </c>
      <c r="E50" s="19">
        <f>capitale*((1+(rend_obbl/100)*0.74-0.002)^46)/((1+inflazione_pct/100)^46)</f>
        <v/>
      </c>
      <c r="F50" s="18">
        <f>capitale*((1+(rend_etf/100)*0.74-0.002)^46)/((1+inflazione_pct/100)^46)</f>
        <v/>
      </c>
    </row>
    <row r="51">
      <c r="A51" s="14" t="n">
        <v>47</v>
      </c>
      <c r="B51" s="15">
        <f>capitale/((1+inflazione_pct/100)^47)</f>
        <v/>
      </c>
      <c r="C51" s="16">
        <f>capitale*((1+(rend_dep/100)*0.74-0.002)^47)/((1+inflazione_pct/100)^47)</f>
        <v/>
      </c>
      <c r="D51" s="16">
        <f>capitale*((1+(rend_btp/100)*0.875-0.002)^47)/((1+inflazione_pct/100)^47)</f>
        <v/>
      </c>
      <c r="E51" s="16">
        <f>capitale*((1+(rend_obbl/100)*0.74-0.002)^47)/((1+inflazione_pct/100)^47)</f>
        <v/>
      </c>
      <c r="F51" s="15">
        <f>capitale*((1+(rend_etf/100)*0.74-0.002)^47)/((1+inflazione_pct/100)^47)</f>
        <v/>
      </c>
    </row>
    <row r="52">
      <c r="A52" s="17" t="n">
        <v>48</v>
      </c>
      <c r="B52" s="18">
        <f>capitale/((1+inflazione_pct/100)^48)</f>
        <v/>
      </c>
      <c r="C52" s="19">
        <f>capitale*((1+(rend_dep/100)*0.74-0.002)^48)/((1+inflazione_pct/100)^48)</f>
        <v/>
      </c>
      <c r="D52" s="19">
        <f>capitale*((1+(rend_btp/100)*0.875-0.002)^48)/((1+inflazione_pct/100)^48)</f>
        <v/>
      </c>
      <c r="E52" s="19">
        <f>capitale*((1+(rend_obbl/100)*0.74-0.002)^48)/((1+inflazione_pct/100)^48)</f>
        <v/>
      </c>
      <c r="F52" s="18">
        <f>capitale*((1+(rend_etf/100)*0.74-0.002)^48)/((1+inflazione_pct/100)^48)</f>
        <v/>
      </c>
    </row>
    <row r="53">
      <c r="A53" s="14" t="n">
        <v>49</v>
      </c>
      <c r="B53" s="15">
        <f>capitale/((1+inflazione_pct/100)^49)</f>
        <v/>
      </c>
      <c r="C53" s="16">
        <f>capitale*((1+(rend_dep/100)*0.74-0.002)^49)/((1+inflazione_pct/100)^49)</f>
        <v/>
      </c>
      <c r="D53" s="16">
        <f>capitale*((1+(rend_btp/100)*0.875-0.002)^49)/((1+inflazione_pct/100)^49)</f>
        <v/>
      </c>
      <c r="E53" s="16">
        <f>capitale*((1+(rend_obbl/100)*0.74-0.002)^49)/((1+inflazione_pct/100)^49)</f>
        <v/>
      </c>
      <c r="F53" s="15">
        <f>capitale*((1+(rend_etf/100)*0.74-0.002)^49)/((1+inflazione_pct/100)^49)</f>
        <v/>
      </c>
    </row>
    <row r="54">
      <c r="A54" s="17" t="n">
        <v>50</v>
      </c>
      <c r="B54" s="18">
        <f>capitale/((1+inflazione_pct/100)^50)</f>
        <v/>
      </c>
      <c r="C54" s="19">
        <f>capitale*((1+(rend_dep/100)*0.74-0.002)^50)/((1+inflazione_pct/100)^50)</f>
        <v/>
      </c>
      <c r="D54" s="19">
        <f>capitale*((1+(rend_btp/100)*0.875-0.002)^50)/((1+inflazione_pct/100)^50)</f>
        <v/>
      </c>
      <c r="E54" s="19">
        <f>capitale*((1+(rend_obbl/100)*0.74-0.002)^50)/((1+inflazione_pct/100)^50)</f>
        <v/>
      </c>
      <c r="F54" s="18">
        <f>capitale*((1+(rend_etf/100)*0.74-0.002)^50)/((1+inflazione_pct/100)^50)</f>
        <v/>
      </c>
    </row>
  </sheetData>
  <mergeCells count="2">
    <mergeCell ref="A2:F2"/>
    <mergeCell ref="A1:F1"/>
  </mergeCells>
  <conditionalFormatting sqref="B5:F54">
    <cfRule type="colorScale" priority="1">
      <colorScale>
        <cfvo type="min"/>
        <cfvo type="percentile" val="50"/>
        <cfvo type="max"/>
        <color rgb="00E94B5A"/>
        <color rgb="00FFFFFF"/>
        <color rgb="00D4F5E5"/>
      </colorScale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3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42" customHeight="1">
      <c r="A1" s="1" t="inlineStr">
        <is>
          <t>📊  Risultato — quanto vale davvero il tuo capitale</t>
        </is>
      </c>
    </row>
    <row r="2" ht="16" customHeight="1"/>
    <row r="3">
      <c r="A3" s="20" t="inlineStr">
        <is>
          <t>Quanto perde il tuo capitale fermo sul conto in N anni (in € di oggi)</t>
        </is>
      </c>
    </row>
    <row r="4" ht="28" customHeight="1">
      <c r="A4" s="21">
        <f>capitale-INDEX(Calcolo!B5:B54,anni)</f>
        <v/>
      </c>
    </row>
    <row r="5" ht="28" customHeight="1"/>
    <row r="6" ht="28" customHeight="1"/>
    <row r="7" ht="12" customHeight="1"/>
    <row r="8">
      <c r="A8" s="22" t="inlineStr">
        <is>
          <t>Quanto avresti invece con un ETF azionario globale (REALE, post-tasse)</t>
        </is>
      </c>
    </row>
    <row r="9" ht="32" customHeight="1">
      <c r="A9" s="23">
        <f>INDEX(Calcolo!F5:F54,anni)</f>
        <v/>
      </c>
    </row>
    <row r="10" ht="18" customHeight="1"/>
    <row r="11" ht="30" customHeight="1">
      <c r="A11" s="4" t="inlineStr">
        <is>
          <t>🧾  Confronto strumenti dopo N anni (in € di oggi)</t>
        </is>
      </c>
    </row>
    <row r="12" ht="28" customHeight="1">
      <c r="A12" s="24" t="inlineStr">
        <is>
          <t>Capitale di partenza</t>
        </is>
      </c>
      <c r="B12" s="25" t="n"/>
      <c r="C12" s="25" t="n"/>
      <c r="D12" s="25" t="n"/>
      <c r="E12" s="26">
        <f>capitale</f>
        <v/>
      </c>
      <c r="F12" s="25" t="n"/>
    </row>
    <row r="13" ht="28" customHeight="1">
      <c r="A13" s="24" t="inlineStr">
        <is>
          <t>Conto corrente fermo (REALE)</t>
        </is>
      </c>
      <c r="B13" s="25" t="n"/>
      <c r="C13" s="25" t="n"/>
      <c r="D13" s="25" t="n"/>
      <c r="E13" s="26">
        <f>INDEX(Calcolo!B5:B54,anni)</f>
        <v/>
      </c>
      <c r="F13" s="25" t="n"/>
    </row>
    <row r="14" ht="28" customHeight="1">
      <c r="A14" s="24" t="inlineStr">
        <is>
          <t>Conto deposito vincolato</t>
        </is>
      </c>
      <c r="B14" s="25" t="n"/>
      <c r="C14" s="25" t="n"/>
      <c r="D14" s="25" t="n"/>
      <c r="E14" s="26">
        <f>INDEX(Calcolo!C5:C54,anni)</f>
        <v/>
      </c>
      <c r="F14" s="25" t="n"/>
    </row>
    <row r="15" ht="28" customHeight="1">
      <c r="A15" s="24" t="inlineStr">
        <is>
          <t>BTP breve / ETF monetario (12,5%)</t>
        </is>
      </c>
      <c r="B15" s="25" t="n"/>
      <c r="C15" s="25" t="n"/>
      <c r="D15" s="25" t="n"/>
      <c r="E15" s="26">
        <f>INDEX(Calcolo!D5:D54,anni)</f>
        <v/>
      </c>
      <c r="F15" s="25" t="n"/>
    </row>
    <row r="16" ht="28" customHeight="1">
      <c r="A16" s="24" t="inlineStr">
        <is>
          <t>ETF obbligazionario IG</t>
        </is>
      </c>
      <c r="B16" s="25" t="n"/>
      <c r="C16" s="25" t="n"/>
      <c r="D16" s="25" t="n"/>
      <c r="E16" s="26">
        <f>INDEX(Calcolo!E5:E54,anni)</f>
        <v/>
      </c>
      <c r="F16" s="25" t="n"/>
    </row>
    <row r="17" ht="28" customHeight="1">
      <c r="A17" s="24" t="inlineStr">
        <is>
          <t>ETF azionario globale</t>
        </is>
      </c>
      <c r="B17" s="25" t="n"/>
      <c r="C17" s="25" t="n"/>
      <c r="D17" s="25" t="n"/>
      <c r="E17" s="26">
        <f>INDEX(Calcolo!F5:F54,anni)</f>
        <v/>
      </c>
      <c r="F17" s="25" t="n"/>
    </row>
    <row r="18" ht="16" customHeight="1"/>
    <row r="19" ht="28" customHeight="1">
      <c r="A19" s="4" t="inlineStr">
        <is>
          <t>📈  Valore reale dei diversi strumenti nel tempo</t>
        </is>
      </c>
    </row>
    <row r="43" ht="28" customHeight="1">
      <c r="A43" s="7" t="inlineStr">
        <is>
          <t>🌐  didiertommasi.com    📩  Newsletter settimanale    📊  Materiale educativo  ·  Non consulenza personalizzata</t>
        </is>
      </c>
    </row>
  </sheetData>
  <mergeCells count="20">
    <mergeCell ref="E12:F12"/>
    <mergeCell ref="A17:D17"/>
    <mergeCell ref="E14:F14"/>
    <mergeCell ref="A3:F3"/>
    <mergeCell ref="E17:F17"/>
    <mergeCell ref="A13:D13"/>
    <mergeCell ref="A8:F8"/>
    <mergeCell ref="A15:D15"/>
    <mergeCell ref="E13:F13"/>
    <mergeCell ref="A43:F43"/>
    <mergeCell ref="E15:F15"/>
    <mergeCell ref="A19:F19"/>
    <mergeCell ref="A4:F6"/>
    <mergeCell ref="A9:F9"/>
    <mergeCell ref="A16:D16"/>
    <mergeCell ref="A11:F11"/>
    <mergeCell ref="E16:F16"/>
    <mergeCell ref="A12:D12"/>
    <mergeCell ref="A1:F1"/>
    <mergeCell ref="A14:D14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2026-04-28T20:43:52Z</dcterms:created>
  <dcterms:modified xsi:type="dcterms:W3CDTF">2026-04-28T20:43:52Z</dcterms:modified>
</cp:coreProperties>
</file>