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capitale_iniziale">Input!$B$5</definedName>
    <definedName name="pac_mensile">Input!$B$6</definedName>
    <definedName name="anni">Input!$B$7</definedName>
    <definedName name="rendimento_lordo_pct">Input!$B$8</definedName>
    <definedName name="inflazione_pct">Input!$B$9</definedName>
    <definedName name="ter_pct">Input!$B$10</definedName>
    <definedName name="ter_banca_pct">Input!$B$11</definedName>
    <definedName name="tax_rate_pct">Input!$B$12</definedName>
    <definedName name="bollo_pct">Input!$B$13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0&quot;%&quot;"/>
    <numFmt numFmtId="166" formatCode="&quot;+&quot;#,##0 &quot;€&quot;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alibri"/>
      <b val="1"/>
      <color rgb="00E8A33D"/>
      <sz val="14"/>
    </font>
    <font>
      <name val="Calibri"/>
      <color rgb="004A5568"/>
      <sz val="10"/>
    </font>
    <font>
      <name val="Consolas"/>
      <color rgb="001A2950"/>
      <sz val="9"/>
    </font>
    <font>
      <name val="Calibri"/>
      <i val="1"/>
      <color rgb="006B7280"/>
      <sz val="9"/>
    </font>
    <font>
      <name val="Calibri"/>
      <b val="1"/>
      <color rgb="0014213D"/>
      <sz val="11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4"/>
    </font>
    <font>
      <name val="Calibri"/>
      <b val="1"/>
      <color rgb="0014213D"/>
      <sz val="10"/>
    </font>
    <font>
      <name val="Calibri"/>
      <i val="1"/>
      <color rgb="001A2950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8"/>
    </font>
    <font>
      <name val="Calibri"/>
      <color rgb="004A5568"/>
      <sz val="11"/>
    </font>
    <font>
      <name val="Calibri"/>
      <b val="1"/>
      <color rgb="0014213D"/>
      <sz val="12"/>
    </font>
  </fonts>
  <fills count="10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FF8E1"/>
        <bgColor rgb="00FFF8E1"/>
      </patternFill>
    </fill>
    <fill>
      <patternFill patternType="solid">
        <fgColor rgb="00FAFAF7"/>
        <bgColor rgb="00FAFAF7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 indent="1"/>
    </xf>
    <xf numFmtId="0" fontId="4" fillId="5" borderId="0" applyAlignment="1" pivotButton="0" quotePrefix="0" xfId="0">
      <alignment horizontal="center" vertical="top"/>
    </xf>
    <xf numFmtId="0" fontId="5" fillId="0" borderId="0" applyAlignment="1" pivotButton="0" quotePrefix="0" xfId="0">
      <alignment horizontal="left" vertical="top" wrapText="1" indent="1"/>
    </xf>
    <xf numFmtId="0" fontId="6" fillId="6" borderId="1" applyAlignment="1" pivotButton="0" quotePrefix="0" xfId="0">
      <alignment horizontal="left" vertical="top" wrapText="1" indent="1"/>
    </xf>
    <xf numFmtId="0" fontId="7" fillId="0" borderId="0" applyAlignment="1" pivotButton="0" quotePrefix="0" xfId="0">
      <alignment horizontal="left" vertical="top" wrapText="1" indent="1"/>
    </xf>
    <xf numFmtId="0" fontId="8" fillId="0" borderId="0" applyAlignment="1" pivotButton="0" quotePrefix="0" xfId="0">
      <alignment horizontal="left" vertical="center" wrapText="1" indent="1"/>
    </xf>
    <xf numFmtId="0" fontId="9" fillId="3" borderId="0" applyAlignment="1" pivotButton="0" quotePrefix="0" xfId="0">
      <alignment horizontal="center" vertical="center" wrapText="1"/>
    </xf>
    <xf numFmtId="0" fontId="10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164" fontId="11" fillId="7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left" vertical="top" wrapText="1" indent="1"/>
    </xf>
    <xf numFmtId="1" fontId="11" fillId="7" borderId="1" applyAlignment="1" pivotButton="0" quotePrefix="0" xfId="0">
      <alignment horizontal="center" vertical="center" wrapText="1"/>
    </xf>
    <xf numFmtId="165" fontId="11" fillId="7" borderId="1" applyAlignment="1" pivotButton="0" quotePrefix="0" xfId="0">
      <alignment horizontal="center" vertical="center" wrapText="1"/>
    </xf>
    <xf numFmtId="0" fontId="12" fillId="0" borderId="2" applyAlignment="1" pivotButton="0" quotePrefix="0" xfId="0">
      <alignment horizontal="left" vertical="center" wrapText="1" indent="1"/>
    </xf>
    <xf numFmtId="0" fontId="5" fillId="0" borderId="2" applyAlignment="1" pivotButton="0" quotePrefix="0" xfId="0">
      <alignment horizontal="center" vertical="center" wrapText="1"/>
    </xf>
    <xf numFmtId="0" fontId="12" fillId="8" borderId="2" applyAlignment="1" pivotButton="0" quotePrefix="0" xfId="0">
      <alignment horizontal="left" vertical="center" wrapText="1" indent="1"/>
    </xf>
    <xf numFmtId="0" fontId="5" fillId="8" borderId="2" applyAlignment="1" pivotButton="0" quotePrefix="0" xfId="0">
      <alignment horizontal="center" vertical="center" wrapText="1"/>
    </xf>
    <xf numFmtId="0" fontId="12" fillId="0" borderId="2" applyAlignment="1" pivotButton="0" quotePrefix="0" xfId="0">
      <alignment horizontal="center" vertical="center" wrapText="1"/>
    </xf>
    <xf numFmtId="164" fontId="5" fillId="0" borderId="2" applyAlignment="1" pivotButton="0" quotePrefix="0" xfId="0">
      <alignment horizontal="right" vertical="center" indent="1"/>
    </xf>
    <xf numFmtId="164" fontId="12" fillId="0" borderId="2" applyAlignment="1" pivotButton="0" quotePrefix="0" xfId="0">
      <alignment horizontal="right" vertical="center" indent="1"/>
    </xf>
    <xf numFmtId="164" fontId="13" fillId="0" borderId="2" applyAlignment="1" pivotButton="0" quotePrefix="0" xfId="0">
      <alignment horizontal="right" vertical="center" indent="1"/>
    </xf>
    <xf numFmtId="0" fontId="12" fillId="8" borderId="2" applyAlignment="1" pivotButton="0" quotePrefix="0" xfId="0">
      <alignment horizontal="center" vertical="center" wrapText="1"/>
    </xf>
    <xf numFmtId="164" fontId="5" fillId="8" borderId="2" applyAlignment="1" pivotButton="0" quotePrefix="0" xfId="0">
      <alignment horizontal="right" vertical="center" indent="1"/>
    </xf>
    <xf numFmtId="164" fontId="12" fillId="8" borderId="2" applyAlignment="1" pivotButton="0" quotePrefix="0" xfId="0">
      <alignment horizontal="right" vertical="center" indent="1"/>
    </xf>
    <xf numFmtId="164" fontId="13" fillId="8" borderId="2" applyAlignment="1" pivotButton="0" quotePrefix="0" xfId="0">
      <alignment horizontal="right" vertical="center" indent="1"/>
    </xf>
    <xf numFmtId="0" fontId="14" fillId="0" borderId="0" applyAlignment="1" pivotButton="0" quotePrefix="0" xfId="0">
      <alignment horizontal="center" vertical="center" wrapText="1"/>
    </xf>
    <xf numFmtId="164" fontId="15" fillId="4" borderId="0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center" vertical="center" wrapText="1"/>
    </xf>
    <xf numFmtId="164" fontId="17" fillId="6" borderId="0" applyAlignment="1" pivotButton="0" quotePrefix="0" xfId="0">
      <alignment horizontal="center" vertical="center" wrapText="1"/>
    </xf>
    <xf numFmtId="166" fontId="18" fillId="9" borderId="0" applyAlignment="1" pivotButton="0" quotePrefix="0" xfId="0">
      <alignment horizontal="right" vertical="center" indent="1"/>
    </xf>
    <xf numFmtId="0" fontId="19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4" fontId="20" fillId="0" borderId="3" applyAlignment="1" pivotButton="0" quotePrefix="0" xfId="0">
      <alignment horizontal="right" vertical="center" indent="1"/>
    </xf>
    <xf numFmtId="0" fontId="8" fillId="5" borderId="3" applyAlignment="1" pivotButton="0" quotePrefix="0" xfId="0">
      <alignment horizontal="left" vertical="center" wrapText="1" indent="1"/>
    </xf>
    <xf numFmtId="164" fontId="11" fillId="5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'Calcolo'!B4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'Calcolo'!$B$5:$B$54</f>
            </numRef>
          </val>
        </ser>
        <ser>
          <idx val="1"/>
          <order val="1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'Calcolo'!$C$5:$C$54</f>
            </numRef>
          </val>
        </ser>
        <ser>
          <idx val="2"/>
          <order val="2"/>
          <tx>
            <strRef>
              <f>'Calcolo'!F4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'Calcolo'!$F$5:$F$54</f>
            </numRef>
          </val>
        </ser>
        <ser>
          <idx val="3"/>
          <order val="3"/>
          <tx>
            <strRef>
              <f>'Calcolo'!G4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'Calcolo'!$G$5:$G$54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28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Calcolatore Interesse Composto</t>
        </is>
      </c>
    </row>
    <row r="2" ht="22" customHeight="1">
      <c r="A2" s="2" t="inlineStr">
        <is>
          <t>Didier Tommasi  ·  Analista Finanziario Indipendente  ·  didiertommasi.com</t>
        </is>
      </c>
    </row>
    <row r="3" ht="18" customHeight="1"/>
    <row r="4" ht="32" customHeight="1">
      <c r="A4" s="3" t="inlineStr">
        <is>
          <t>📌 In 30 secondi: €10k + €200/m × 25y al 7% = €169.131 netti. Sul conto corrente: -€73.000.</t>
        </is>
      </c>
    </row>
    <row r="5" ht="12" customHeight="1"/>
    <row r="6" ht="30" customHeight="1">
      <c r="A6" s="4" t="inlineStr">
        <is>
          <t>➊ Come funziona in 5 step</t>
        </is>
      </c>
    </row>
    <row r="7" ht="36" customHeight="1">
      <c r="A7" s="5" t="inlineStr">
        <is>
          <t>1</t>
        </is>
      </c>
      <c r="B7" s="6" t="inlineStr">
        <is>
          <t>Apri il foglio "Input"  ·  Modifica le 7 celle gialle con i tuoi dati: capitale iniziale, versamento mensile, anni, rendimento atteso, costi.</t>
        </is>
      </c>
    </row>
    <row r="8" ht="36" customHeight="1">
      <c r="A8" s="5" t="inlineStr">
        <is>
          <t>2</t>
        </is>
      </c>
      <c r="B8" s="6" t="inlineStr">
        <is>
          <t>Apri "Calcolo"  ·  Vedi anno per anno la crescita del capitale. Le formule sono trasparenti — clicca su una cella per leggerle.</t>
        </is>
      </c>
    </row>
    <row r="9" ht="36" customHeight="1">
      <c r="A9" s="5" t="inlineStr">
        <is>
          <t>3</t>
        </is>
      </c>
      <c r="B9" s="6" t="inlineStr">
        <is>
          <t>Apri "Risultato"  ·  Trovi il capitale netto finale, la differenza vs tenere i soldi fermi sul conto corrente, e il grafico della crescita.</t>
        </is>
      </c>
    </row>
    <row r="10" ht="36" customHeight="1">
      <c r="A10" s="5" t="inlineStr">
        <is>
          <t>4</t>
        </is>
      </c>
      <c r="B10" s="6" t="inlineStr">
        <is>
          <t>Modifica gli scenari  ·  Cambia "anni" da 25 a 35 per vedere il compound. Cambia "rendimento" da 7% a 4% per scenario conservativo.</t>
        </is>
      </c>
    </row>
    <row r="11" ht="36" customHeight="1">
      <c r="A11" s="5" t="inlineStr">
        <is>
          <t>5</t>
        </is>
      </c>
      <c r="B11" s="6" t="inlineStr">
        <is>
          <t>Salva una copia  ·  Salva il file su iCloud / Drive / Desktop per averlo sempre disponibile e tornarci nei prossimi anni.</t>
        </is>
      </c>
    </row>
    <row r="12" ht="12" customHeight="1"/>
    <row r="13" ht="30" customHeight="1">
      <c r="A13" s="4" t="inlineStr">
        <is>
          <t>➋ Le formule applicate</t>
        </is>
      </c>
    </row>
    <row r="14">
      <c r="A14" s="7" t="inlineStr">
        <is>
          <t>Capitale lordo dopo N anni:    FV(rate_mensile, N×12, −PAC, −capitale_iniziale)
  dove rate_mensile = (rendimento_lordo% − TER% − bollo%) / 100 / 12
Capital gain:    MAX(0, lordo − versato_totale)
Tasse:    capital_gain × aliquota%  (26% standard,  12,5% BTP/whitelist)
Capitale netto:    lordo − tasse</t>
        </is>
      </c>
    </row>
    <row r="15"/>
    <row r="16"/>
    <row r="17"/>
    <row r="18"/>
    <row r="19" ht="12" customHeight="1"/>
    <row r="20" ht="30" customHeight="1">
      <c r="A20" s="4" t="inlineStr">
        <is>
          <t>➌ Cosa devi sapere</t>
        </is>
      </c>
    </row>
    <row r="21">
      <c r="A21" s="8" t="inlineStr">
        <is>
          <t>Le formule usano il compound interest mensile esatto (formula FV di Excel/Sheets) — gap zero rispetto a una simulazione manuale. Il bollo dossier 0,2% (DPR 642/1972) è modellato come riduzione del tasso annuo lordo, semplificazione che differisce dalla legge (imposta sul patrimonio prelevata dal CC) di meno dello 0,5% su orizzonti lunghi. La tassazione 26% sul capital gain (DPR 600/1973) viene applicata solo al momento della vendita ipotetica a fine periodo (regime accumulazione tipico ETF). Per BTP e altri strumenti white-list modifica l'aliquota a 12,5% nell'Input.</t>
        </is>
      </c>
    </row>
    <row r="22"/>
    <row r="23"/>
    <row r="24"/>
    <row r="25"/>
    <row r="26" ht="8" customHeight="1"/>
    <row r="27">
      <c r="A27" s="9" t="inlineStr">
        <is>
          <t>📚  Fonti &amp; riferimenti</t>
        </is>
      </c>
    </row>
    <row r="28" ht="16" customHeight="1">
      <c r="A28" s="8" t="inlineStr">
        <is>
          <t>· Rendimento storico 7% nominal (S&amp;P 500 1928-2024 geometric mean) — Damodaran NYU Stern</t>
        </is>
      </c>
    </row>
    <row r="29" ht="16" customHeight="1">
      <c r="A29" s="8" t="inlineStr">
        <is>
          <t>· Tassazione capital gain 26% — DPR 600/1973 art. 26-quinquies</t>
        </is>
      </c>
    </row>
    <row r="30" ht="16" customHeight="1">
      <c r="A30" s="8" t="inlineStr">
        <is>
          <t>· Aliquota agevolata 12,5% white-list — D.L. 66/2014 art. 3</t>
        </is>
      </c>
    </row>
    <row r="31" ht="16" customHeight="1">
      <c r="A31" s="8" t="inlineStr">
        <is>
          <t>· Bollo dossier 0,2% annuo — DPR 642/1972 Tariffa art. 13</t>
        </is>
      </c>
    </row>
    <row r="32" ht="16" customHeight="1">
      <c r="A32" s="8" t="inlineStr">
        <is>
          <t>· Materiale educativo, non consulenza personalizzata. Decisioni a un CFI iscritto Albo OCF Sezione II.</t>
        </is>
      </c>
    </row>
    <row r="33" ht="16" customHeight="1"/>
    <row r="34" ht="28" customHeight="1">
      <c r="A34" s="10" t="inlineStr">
        <is>
          <t>🌐  didiertommasi.com    📩  Newsletter settimanale gratuita    📊  10 calcolatori free</t>
        </is>
      </c>
    </row>
  </sheetData>
  <mergeCells count="20">
    <mergeCell ref="B7:F7"/>
    <mergeCell ref="A27:F27"/>
    <mergeCell ref="A2:F2"/>
    <mergeCell ref="B11:F11"/>
    <mergeCell ref="A32:F32"/>
    <mergeCell ref="A21:F25"/>
    <mergeCell ref="A4:F4"/>
    <mergeCell ref="B8:F8"/>
    <mergeCell ref="A20:F20"/>
    <mergeCell ref="A29:F29"/>
    <mergeCell ref="A14:F18"/>
    <mergeCell ref="A28:F28"/>
    <mergeCell ref="A13:F13"/>
    <mergeCell ref="B10:F10"/>
    <mergeCell ref="A31:F31"/>
    <mergeCell ref="A34:F34"/>
    <mergeCell ref="A30:F30"/>
    <mergeCell ref="B9:F9"/>
    <mergeCell ref="A1:F1"/>
    <mergeCell ref="A6:F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70" customWidth="1" min="3" max="3"/>
    <col width="28" customWidth="1" min="4" max="4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Il foglio 'Risultato' si aggiorna automaticamente.</t>
        </is>
      </c>
    </row>
    <row r="3" ht="18" customHeight="1"/>
    <row r="4" ht="28" customHeight="1">
      <c r="A4" s="11" t="inlineStr">
        <is>
          <t>Parametro</t>
        </is>
      </c>
      <c r="B4" s="11" t="inlineStr">
        <is>
          <t>Valore</t>
        </is>
      </c>
      <c r="C4" s="11" t="inlineStr">
        <is>
          <t>Note</t>
        </is>
      </c>
    </row>
    <row r="5" ht="30" customHeight="1">
      <c r="A5" s="12" t="inlineStr">
        <is>
          <t>Capitale iniziale</t>
        </is>
      </c>
      <c r="B5" s="13" t="n">
        <v>10000</v>
      </c>
      <c r="C5" s="14" t="inlineStr">
        <is>
          <t>€ — quanto investi adesso (può essere 0 se parti solo con PAC)</t>
        </is>
      </c>
    </row>
    <row r="6" ht="30" customHeight="1">
      <c r="A6" s="12" t="inlineStr">
        <is>
          <t>Versamento mensile (PAC)</t>
        </is>
      </c>
      <c r="B6" s="13" t="n">
        <v>200</v>
      </c>
      <c r="C6" s="14" t="inlineStr">
        <is>
          <t>€ — quanto aggiungi ogni mese (0 se solo capitale iniziale)</t>
        </is>
      </c>
    </row>
    <row r="7" ht="30" customHeight="1">
      <c r="A7" s="12" t="inlineStr">
        <is>
          <t>Durata investimento</t>
        </is>
      </c>
      <c r="B7" s="15" t="n">
        <v>25</v>
      </c>
      <c r="C7" s="14" t="inlineStr">
        <is>
          <t>anni — orizzonte temporale (1 ÷ 50)</t>
        </is>
      </c>
    </row>
    <row r="8" ht="30" customHeight="1">
      <c r="A8" s="12" t="inlineStr">
        <is>
          <t>Rendimento lordo atteso</t>
        </is>
      </c>
      <c r="B8" s="16" t="n">
        <v>7</v>
      </c>
      <c r="C8" s="14" t="inlineStr">
        <is>
          <t>% annuo NOMINALE — es. 7% (S&amp;P 500 1928-2024, Damodaran). NB: nominal = prima dell'inflazione</t>
        </is>
      </c>
    </row>
    <row r="9" ht="30" customHeight="1">
      <c r="A9" s="12" t="inlineStr">
        <is>
          <t>Inflazione attesa</t>
        </is>
      </c>
      <c r="B9" s="16" t="n">
        <v>2</v>
      </c>
      <c r="C9" s="14" t="inlineStr">
        <is>
          <t>% annuo — media storica Italia. Serve per calcolare il capitale REALE (potere d'acquisto di oggi)</t>
        </is>
      </c>
    </row>
    <row r="10" ht="30" customHeight="1">
      <c r="A10" s="12" t="inlineStr">
        <is>
          <t>TER strumento (ETF passivo)</t>
        </is>
      </c>
      <c r="B10" s="16" t="n">
        <v>0.2</v>
      </c>
      <c r="C10" s="14" t="inlineStr">
        <is>
          <t>% annuo — costo del tuo strumento (ETF UCITS tipico 0,1-0,3%)</t>
        </is>
      </c>
    </row>
    <row r="11" ht="30" customHeight="1">
      <c r="A11" s="12" t="inlineStr">
        <is>
          <t>TER scenario fondo bancario</t>
        </is>
      </c>
      <c r="B11" s="16" t="n">
        <v>1.8</v>
      </c>
      <c r="C11" s="14" t="inlineStr">
        <is>
          <t>% annuo — costo medio di un fondo bilanciato bancario italiano (Mediobanca R&amp;S). Per confronto strutturale.</t>
        </is>
      </c>
    </row>
    <row r="12" ht="30" customHeight="1">
      <c r="A12" s="12" t="inlineStr">
        <is>
          <t>Aliquota capital gain</t>
        </is>
      </c>
      <c r="B12" s="16" t="n">
        <v>26</v>
      </c>
      <c r="C12" s="14" t="inlineStr">
        <is>
          <t>% — 26% standard, 12,5% per BTP / titoli Stato whitelist</t>
        </is>
      </c>
    </row>
    <row r="13" ht="30" customHeight="1">
      <c r="A13" s="12" t="inlineStr">
        <is>
          <t>Bollo dossier annuo</t>
        </is>
      </c>
      <c r="B13" s="16" t="n">
        <v>0.2</v>
      </c>
      <c r="C13" s="14" t="inlineStr">
        <is>
          <t>% — imposta di bollo titoli (DPR 642/1972), modellato come costo annuale</t>
        </is>
      </c>
    </row>
    <row r="14" ht="16" customHeight="1"/>
    <row r="15" ht="30" customHeight="1">
      <c r="A15" s="4" t="inlineStr">
        <is>
          <t>💡  Scenari di riferimento (per ispirazione)</t>
        </is>
      </c>
    </row>
    <row r="16" ht="26" customHeight="1">
      <c r="A16" s="11" t="inlineStr">
        <is>
          <t>Profilo</t>
        </is>
      </c>
      <c r="B16" s="11" t="inlineStr">
        <is>
          <t>Iniziale</t>
        </is>
      </c>
      <c r="C16" s="11" t="inlineStr">
        <is>
          <t>PAC</t>
        </is>
      </c>
      <c r="D16" s="11" t="inlineStr">
        <is>
          <t>Durata · Rendimento</t>
        </is>
      </c>
    </row>
    <row r="17" ht="24" customHeight="1">
      <c r="A17" s="17" t="inlineStr">
        <is>
          <t>Giovane 25 anni — inizia da zero</t>
        </is>
      </c>
      <c r="B17" s="18" t="inlineStr">
        <is>
          <t>0 €</t>
        </is>
      </c>
      <c r="C17" s="18" t="inlineStr">
        <is>
          <t>300 €/mese</t>
        </is>
      </c>
      <c r="D17" s="18" t="inlineStr">
        <is>
          <t>40 anni · 7% / TER 0,20%</t>
        </is>
      </c>
    </row>
    <row r="18" ht="24" customHeight="1">
      <c r="A18" s="19" t="inlineStr">
        <is>
          <t>Famiglia 40 anni — risparmio</t>
        </is>
      </c>
      <c r="B18" s="20" t="inlineStr">
        <is>
          <t>50.000 €</t>
        </is>
      </c>
      <c r="C18" s="20" t="inlineStr">
        <is>
          <t>500 €/mese</t>
        </is>
      </c>
      <c r="D18" s="20" t="inlineStr">
        <is>
          <t>25 anni · 6% / TER 0,30%</t>
        </is>
      </c>
    </row>
    <row r="19" ht="24" customHeight="1">
      <c r="A19" s="17" t="inlineStr">
        <is>
          <t>Pre-pensione 55 anni — preservare</t>
        </is>
      </c>
      <c r="B19" s="18" t="inlineStr">
        <is>
          <t>200.000 €</t>
        </is>
      </c>
      <c r="C19" s="18" t="inlineStr">
        <is>
          <t>0 €</t>
        </is>
      </c>
      <c r="D19" s="18" t="inlineStr">
        <is>
          <t>12 anni · 4% / TER 0,20%</t>
        </is>
      </c>
    </row>
    <row r="20" ht="24" customHeight="1">
      <c r="A20" s="19" t="inlineStr">
        <is>
          <t>Liquidità 30k da non far erodere</t>
        </is>
      </c>
      <c r="B20" s="20" t="inlineStr">
        <is>
          <t>30.000 €</t>
        </is>
      </c>
      <c r="C20" s="20" t="inlineStr">
        <is>
          <t>0 €</t>
        </is>
      </c>
      <c r="D20" s="20" t="inlineStr">
        <is>
          <t>5 anni · 3% / TER 0,15%</t>
        </is>
      </c>
    </row>
  </sheetData>
  <mergeCells count="3">
    <mergeCell ref="A1:D1"/>
    <mergeCell ref="A2:D2"/>
    <mergeCell ref="A15:D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6" customWidth="1" min="2" max="2"/>
    <col width="20" customWidth="1" min="3" max="3"/>
    <col width="16" customWidth="1" min="4" max="4"/>
    <col width="14" customWidth="1" min="5" max="5"/>
    <col width="20" customWidth="1" min="6" max="6"/>
    <col width="20" customWidth="1" min="7" max="7"/>
    <col width="22" customWidth="1" min="8" max="8"/>
    <col width="18" customWidth="1" min="9" max="9"/>
  </cols>
  <sheetData>
    <row r="1" ht="42" customHeight="1">
      <c r="A1" s="1" t="inlineStr">
        <is>
          <t>🧮  Calcolo — anno per anno</t>
        </is>
      </c>
    </row>
    <row r="2" ht="22" customHeight="1">
      <c r="A2" s="2" t="inlineStr">
        <is>
          <t>Compound mensile esatto (FV) · ETF passivo (TER 0,20%) vs Fondo banca (TER 1,80%) · Capitale REALE deflazionato</t>
        </is>
      </c>
    </row>
    <row r="3" ht="12" customHeight="1"/>
    <row r="4" ht="38" customHeight="1">
      <c r="A4" s="11" t="inlineStr">
        <is>
          <t>Anno</t>
        </is>
      </c>
      <c r="B4" s="11" t="inlineStr">
        <is>
          <t>Versato totale</t>
        </is>
      </c>
      <c r="C4" s="11" t="inlineStr">
        <is>
          <t>Capitale lordo ETF</t>
        </is>
      </c>
      <c r="D4" s="11" t="inlineStr">
        <is>
          <t>Capital gain ETF</t>
        </is>
      </c>
      <c r="E4" s="11" t="inlineStr">
        <is>
          <t>Tasse ETF</t>
        </is>
      </c>
      <c r="F4" s="11" t="inlineStr">
        <is>
          <t>Capitale netto ETF</t>
        </is>
      </c>
      <c r="G4" s="11" t="inlineStr">
        <is>
          <t>Capitale REALE ETF</t>
        </is>
      </c>
      <c r="H4" s="11" t="inlineStr">
        <is>
          <t>Capitale netto fondo banca</t>
        </is>
      </c>
      <c r="I4" s="11" t="inlineStr">
        <is>
          <t>Δ ETF − banca</t>
        </is>
      </c>
    </row>
    <row r="5">
      <c r="A5" s="21" t="n">
        <v>1</v>
      </c>
      <c r="B5" s="22">
        <f>capitale_iniziale+pac_mensile*12*1</f>
        <v/>
      </c>
      <c r="C5" s="22">
        <f>FV((rendimento_lordo_pct-ter_pct-bollo_pct)/100/12,1*12,-pac_mensile,-capitale_iniziale)</f>
        <v/>
      </c>
      <c r="D5" s="22">
        <f>MAX(0,C5-B5)</f>
        <v/>
      </c>
      <c r="E5" s="22">
        <f>D5*(tax_rate_pct/100)</f>
        <v/>
      </c>
      <c r="F5" s="23">
        <f>C5-E5</f>
        <v/>
      </c>
      <c r="G5" s="24">
        <f>F5/((1+inflazione_pct/100)^1)</f>
        <v/>
      </c>
      <c r="H5" s="22">
        <f>FV((rendimento_lordo_pct-ter_banca_pct-bollo_pct)/100/12,1*12,-pac_mensile,-capitale_iniziale)-MAX(0,FV((rendimento_lordo_pct-ter_banca_pct-bollo_pct)/100/12,1*12,-pac_mensile,-capitale_iniziale)-B5)*0.26</f>
        <v/>
      </c>
      <c r="I5" s="23">
        <f>F5-H5</f>
        <v/>
      </c>
    </row>
    <row r="6">
      <c r="A6" s="25" t="n">
        <v>2</v>
      </c>
      <c r="B6" s="26">
        <f>capitale_iniziale+pac_mensile*12*2</f>
        <v/>
      </c>
      <c r="C6" s="26">
        <f>FV((rendimento_lordo_pct-ter_pct-bollo_pct)/100/12,2*12,-pac_mensile,-capitale_iniziale)</f>
        <v/>
      </c>
      <c r="D6" s="26">
        <f>MAX(0,C6-B6)</f>
        <v/>
      </c>
      <c r="E6" s="26">
        <f>D6*(tax_rate_pct/100)</f>
        <v/>
      </c>
      <c r="F6" s="27">
        <f>C6-E6</f>
        <v/>
      </c>
      <c r="G6" s="28">
        <f>F6/((1+inflazione_pct/100)^2)</f>
        <v/>
      </c>
      <c r="H6" s="26">
        <f>FV((rendimento_lordo_pct-ter_banca_pct-bollo_pct)/100/12,2*12,-pac_mensile,-capitale_iniziale)-MAX(0,FV((rendimento_lordo_pct-ter_banca_pct-bollo_pct)/100/12,2*12,-pac_mensile,-capitale_iniziale)-B6)*0.26</f>
        <v/>
      </c>
      <c r="I6" s="27">
        <f>F6-H6</f>
        <v/>
      </c>
    </row>
    <row r="7">
      <c r="A7" s="21" t="n">
        <v>3</v>
      </c>
      <c r="B7" s="22">
        <f>capitale_iniziale+pac_mensile*12*3</f>
        <v/>
      </c>
      <c r="C7" s="22">
        <f>FV((rendimento_lordo_pct-ter_pct-bollo_pct)/100/12,3*12,-pac_mensile,-capitale_iniziale)</f>
        <v/>
      </c>
      <c r="D7" s="22">
        <f>MAX(0,C7-B7)</f>
        <v/>
      </c>
      <c r="E7" s="22">
        <f>D7*(tax_rate_pct/100)</f>
        <v/>
      </c>
      <c r="F7" s="23">
        <f>C7-E7</f>
        <v/>
      </c>
      <c r="G7" s="24">
        <f>F7/((1+inflazione_pct/100)^3)</f>
        <v/>
      </c>
      <c r="H7" s="22">
        <f>FV((rendimento_lordo_pct-ter_banca_pct-bollo_pct)/100/12,3*12,-pac_mensile,-capitale_iniziale)-MAX(0,FV((rendimento_lordo_pct-ter_banca_pct-bollo_pct)/100/12,3*12,-pac_mensile,-capitale_iniziale)-B7)*0.26</f>
        <v/>
      </c>
      <c r="I7" s="23">
        <f>F7-H7</f>
        <v/>
      </c>
    </row>
    <row r="8">
      <c r="A8" s="25" t="n">
        <v>4</v>
      </c>
      <c r="B8" s="26">
        <f>capitale_iniziale+pac_mensile*12*4</f>
        <v/>
      </c>
      <c r="C8" s="26">
        <f>FV((rendimento_lordo_pct-ter_pct-bollo_pct)/100/12,4*12,-pac_mensile,-capitale_iniziale)</f>
        <v/>
      </c>
      <c r="D8" s="26">
        <f>MAX(0,C8-B8)</f>
        <v/>
      </c>
      <c r="E8" s="26">
        <f>D8*(tax_rate_pct/100)</f>
        <v/>
      </c>
      <c r="F8" s="27">
        <f>C8-E8</f>
        <v/>
      </c>
      <c r="G8" s="28">
        <f>F8/((1+inflazione_pct/100)^4)</f>
        <v/>
      </c>
      <c r="H8" s="26">
        <f>FV((rendimento_lordo_pct-ter_banca_pct-bollo_pct)/100/12,4*12,-pac_mensile,-capitale_iniziale)-MAX(0,FV((rendimento_lordo_pct-ter_banca_pct-bollo_pct)/100/12,4*12,-pac_mensile,-capitale_iniziale)-B8)*0.26</f>
        <v/>
      </c>
      <c r="I8" s="27">
        <f>F8-H8</f>
        <v/>
      </c>
    </row>
    <row r="9">
      <c r="A9" s="21" t="n">
        <v>5</v>
      </c>
      <c r="B9" s="22">
        <f>capitale_iniziale+pac_mensile*12*5</f>
        <v/>
      </c>
      <c r="C9" s="22">
        <f>FV((rendimento_lordo_pct-ter_pct-bollo_pct)/100/12,5*12,-pac_mensile,-capitale_iniziale)</f>
        <v/>
      </c>
      <c r="D9" s="22">
        <f>MAX(0,C9-B9)</f>
        <v/>
      </c>
      <c r="E9" s="22">
        <f>D9*(tax_rate_pct/100)</f>
        <v/>
      </c>
      <c r="F9" s="23">
        <f>C9-E9</f>
        <v/>
      </c>
      <c r="G9" s="24">
        <f>F9/((1+inflazione_pct/100)^5)</f>
        <v/>
      </c>
      <c r="H9" s="22">
        <f>FV((rendimento_lordo_pct-ter_banca_pct-bollo_pct)/100/12,5*12,-pac_mensile,-capitale_iniziale)-MAX(0,FV((rendimento_lordo_pct-ter_banca_pct-bollo_pct)/100/12,5*12,-pac_mensile,-capitale_iniziale)-B9)*0.26</f>
        <v/>
      </c>
      <c r="I9" s="23">
        <f>F9-H9</f>
        <v/>
      </c>
    </row>
    <row r="10">
      <c r="A10" s="25" t="n">
        <v>6</v>
      </c>
      <c r="B10" s="26">
        <f>capitale_iniziale+pac_mensile*12*6</f>
        <v/>
      </c>
      <c r="C10" s="26">
        <f>FV((rendimento_lordo_pct-ter_pct-bollo_pct)/100/12,6*12,-pac_mensile,-capitale_iniziale)</f>
        <v/>
      </c>
      <c r="D10" s="26">
        <f>MAX(0,C10-B10)</f>
        <v/>
      </c>
      <c r="E10" s="26">
        <f>D10*(tax_rate_pct/100)</f>
        <v/>
      </c>
      <c r="F10" s="27">
        <f>C10-E10</f>
        <v/>
      </c>
      <c r="G10" s="28">
        <f>F10/((1+inflazione_pct/100)^6)</f>
        <v/>
      </c>
      <c r="H10" s="26">
        <f>FV((rendimento_lordo_pct-ter_banca_pct-bollo_pct)/100/12,6*12,-pac_mensile,-capitale_iniziale)-MAX(0,FV((rendimento_lordo_pct-ter_banca_pct-bollo_pct)/100/12,6*12,-pac_mensile,-capitale_iniziale)-B10)*0.26</f>
        <v/>
      </c>
      <c r="I10" s="27">
        <f>F10-H10</f>
        <v/>
      </c>
    </row>
    <row r="11">
      <c r="A11" s="21" t="n">
        <v>7</v>
      </c>
      <c r="B11" s="22">
        <f>capitale_iniziale+pac_mensile*12*7</f>
        <v/>
      </c>
      <c r="C11" s="22">
        <f>FV((rendimento_lordo_pct-ter_pct-bollo_pct)/100/12,7*12,-pac_mensile,-capitale_iniziale)</f>
        <v/>
      </c>
      <c r="D11" s="22">
        <f>MAX(0,C11-B11)</f>
        <v/>
      </c>
      <c r="E11" s="22">
        <f>D11*(tax_rate_pct/100)</f>
        <v/>
      </c>
      <c r="F11" s="23">
        <f>C11-E11</f>
        <v/>
      </c>
      <c r="G11" s="24">
        <f>F11/((1+inflazione_pct/100)^7)</f>
        <v/>
      </c>
      <c r="H11" s="22">
        <f>FV((rendimento_lordo_pct-ter_banca_pct-bollo_pct)/100/12,7*12,-pac_mensile,-capitale_iniziale)-MAX(0,FV((rendimento_lordo_pct-ter_banca_pct-bollo_pct)/100/12,7*12,-pac_mensile,-capitale_iniziale)-B11)*0.26</f>
        <v/>
      </c>
      <c r="I11" s="23">
        <f>F11-H11</f>
        <v/>
      </c>
    </row>
    <row r="12">
      <c r="A12" s="25" t="n">
        <v>8</v>
      </c>
      <c r="B12" s="26">
        <f>capitale_iniziale+pac_mensile*12*8</f>
        <v/>
      </c>
      <c r="C12" s="26">
        <f>FV((rendimento_lordo_pct-ter_pct-bollo_pct)/100/12,8*12,-pac_mensile,-capitale_iniziale)</f>
        <v/>
      </c>
      <c r="D12" s="26">
        <f>MAX(0,C12-B12)</f>
        <v/>
      </c>
      <c r="E12" s="26">
        <f>D12*(tax_rate_pct/100)</f>
        <v/>
      </c>
      <c r="F12" s="27">
        <f>C12-E12</f>
        <v/>
      </c>
      <c r="G12" s="28">
        <f>F12/((1+inflazione_pct/100)^8)</f>
        <v/>
      </c>
      <c r="H12" s="26">
        <f>FV((rendimento_lordo_pct-ter_banca_pct-bollo_pct)/100/12,8*12,-pac_mensile,-capitale_iniziale)-MAX(0,FV((rendimento_lordo_pct-ter_banca_pct-bollo_pct)/100/12,8*12,-pac_mensile,-capitale_iniziale)-B12)*0.26</f>
        <v/>
      </c>
      <c r="I12" s="27">
        <f>F12-H12</f>
        <v/>
      </c>
    </row>
    <row r="13">
      <c r="A13" s="21" t="n">
        <v>9</v>
      </c>
      <c r="B13" s="22">
        <f>capitale_iniziale+pac_mensile*12*9</f>
        <v/>
      </c>
      <c r="C13" s="22">
        <f>FV((rendimento_lordo_pct-ter_pct-bollo_pct)/100/12,9*12,-pac_mensile,-capitale_iniziale)</f>
        <v/>
      </c>
      <c r="D13" s="22">
        <f>MAX(0,C13-B13)</f>
        <v/>
      </c>
      <c r="E13" s="22">
        <f>D13*(tax_rate_pct/100)</f>
        <v/>
      </c>
      <c r="F13" s="23">
        <f>C13-E13</f>
        <v/>
      </c>
      <c r="G13" s="24">
        <f>F13/((1+inflazione_pct/100)^9)</f>
        <v/>
      </c>
      <c r="H13" s="22">
        <f>FV((rendimento_lordo_pct-ter_banca_pct-bollo_pct)/100/12,9*12,-pac_mensile,-capitale_iniziale)-MAX(0,FV((rendimento_lordo_pct-ter_banca_pct-bollo_pct)/100/12,9*12,-pac_mensile,-capitale_iniziale)-B13)*0.26</f>
        <v/>
      </c>
      <c r="I13" s="23">
        <f>F13-H13</f>
        <v/>
      </c>
    </row>
    <row r="14">
      <c r="A14" s="25" t="n">
        <v>10</v>
      </c>
      <c r="B14" s="26">
        <f>capitale_iniziale+pac_mensile*12*10</f>
        <v/>
      </c>
      <c r="C14" s="26">
        <f>FV((rendimento_lordo_pct-ter_pct-bollo_pct)/100/12,10*12,-pac_mensile,-capitale_iniziale)</f>
        <v/>
      </c>
      <c r="D14" s="26">
        <f>MAX(0,C14-B14)</f>
        <v/>
      </c>
      <c r="E14" s="26">
        <f>D14*(tax_rate_pct/100)</f>
        <v/>
      </c>
      <c r="F14" s="27">
        <f>C14-E14</f>
        <v/>
      </c>
      <c r="G14" s="28">
        <f>F14/((1+inflazione_pct/100)^10)</f>
        <v/>
      </c>
      <c r="H14" s="26">
        <f>FV((rendimento_lordo_pct-ter_banca_pct-bollo_pct)/100/12,10*12,-pac_mensile,-capitale_iniziale)-MAX(0,FV((rendimento_lordo_pct-ter_banca_pct-bollo_pct)/100/12,10*12,-pac_mensile,-capitale_iniziale)-B14)*0.26</f>
        <v/>
      </c>
      <c r="I14" s="27">
        <f>F14-H14</f>
        <v/>
      </c>
    </row>
    <row r="15">
      <c r="A15" s="21" t="n">
        <v>11</v>
      </c>
      <c r="B15" s="22">
        <f>capitale_iniziale+pac_mensile*12*11</f>
        <v/>
      </c>
      <c r="C15" s="22">
        <f>FV((rendimento_lordo_pct-ter_pct-bollo_pct)/100/12,11*12,-pac_mensile,-capitale_iniziale)</f>
        <v/>
      </c>
      <c r="D15" s="22">
        <f>MAX(0,C15-B15)</f>
        <v/>
      </c>
      <c r="E15" s="22">
        <f>D15*(tax_rate_pct/100)</f>
        <v/>
      </c>
      <c r="F15" s="23">
        <f>C15-E15</f>
        <v/>
      </c>
      <c r="G15" s="24">
        <f>F15/((1+inflazione_pct/100)^11)</f>
        <v/>
      </c>
      <c r="H15" s="22">
        <f>FV((rendimento_lordo_pct-ter_banca_pct-bollo_pct)/100/12,11*12,-pac_mensile,-capitale_iniziale)-MAX(0,FV((rendimento_lordo_pct-ter_banca_pct-bollo_pct)/100/12,11*12,-pac_mensile,-capitale_iniziale)-B15)*0.26</f>
        <v/>
      </c>
      <c r="I15" s="23">
        <f>F15-H15</f>
        <v/>
      </c>
    </row>
    <row r="16">
      <c r="A16" s="25" t="n">
        <v>12</v>
      </c>
      <c r="B16" s="26">
        <f>capitale_iniziale+pac_mensile*12*12</f>
        <v/>
      </c>
      <c r="C16" s="26">
        <f>FV((rendimento_lordo_pct-ter_pct-bollo_pct)/100/12,12*12,-pac_mensile,-capitale_iniziale)</f>
        <v/>
      </c>
      <c r="D16" s="26">
        <f>MAX(0,C16-B16)</f>
        <v/>
      </c>
      <c r="E16" s="26">
        <f>D16*(tax_rate_pct/100)</f>
        <v/>
      </c>
      <c r="F16" s="27">
        <f>C16-E16</f>
        <v/>
      </c>
      <c r="G16" s="28">
        <f>F16/((1+inflazione_pct/100)^12)</f>
        <v/>
      </c>
      <c r="H16" s="26">
        <f>FV((rendimento_lordo_pct-ter_banca_pct-bollo_pct)/100/12,12*12,-pac_mensile,-capitale_iniziale)-MAX(0,FV((rendimento_lordo_pct-ter_banca_pct-bollo_pct)/100/12,12*12,-pac_mensile,-capitale_iniziale)-B16)*0.26</f>
        <v/>
      </c>
      <c r="I16" s="27">
        <f>F16-H16</f>
        <v/>
      </c>
    </row>
    <row r="17">
      <c r="A17" s="21" t="n">
        <v>13</v>
      </c>
      <c r="B17" s="22">
        <f>capitale_iniziale+pac_mensile*12*13</f>
        <v/>
      </c>
      <c r="C17" s="22">
        <f>FV((rendimento_lordo_pct-ter_pct-bollo_pct)/100/12,13*12,-pac_mensile,-capitale_iniziale)</f>
        <v/>
      </c>
      <c r="D17" s="22">
        <f>MAX(0,C17-B17)</f>
        <v/>
      </c>
      <c r="E17" s="22">
        <f>D17*(tax_rate_pct/100)</f>
        <v/>
      </c>
      <c r="F17" s="23">
        <f>C17-E17</f>
        <v/>
      </c>
      <c r="G17" s="24">
        <f>F17/((1+inflazione_pct/100)^13)</f>
        <v/>
      </c>
      <c r="H17" s="22">
        <f>FV((rendimento_lordo_pct-ter_banca_pct-bollo_pct)/100/12,13*12,-pac_mensile,-capitale_iniziale)-MAX(0,FV((rendimento_lordo_pct-ter_banca_pct-bollo_pct)/100/12,13*12,-pac_mensile,-capitale_iniziale)-B17)*0.26</f>
        <v/>
      </c>
      <c r="I17" s="23">
        <f>F17-H17</f>
        <v/>
      </c>
    </row>
    <row r="18">
      <c r="A18" s="25" t="n">
        <v>14</v>
      </c>
      <c r="B18" s="26">
        <f>capitale_iniziale+pac_mensile*12*14</f>
        <v/>
      </c>
      <c r="C18" s="26">
        <f>FV((rendimento_lordo_pct-ter_pct-bollo_pct)/100/12,14*12,-pac_mensile,-capitale_iniziale)</f>
        <v/>
      </c>
      <c r="D18" s="26">
        <f>MAX(0,C18-B18)</f>
        <v/>
      </c>
      <c r="E18" s="26">
        <f>D18*(tax_rate_pct/100)</f>
        <v/>
      </c>
      <c r="F18" s="27">
        <f>C18-E18</f>
        <v/>
      </c>
      <c r="G18" s="28">
        <f>F18/((1+inflazione_pct/100)^14)</f>
        <v/>
      </c>
      <c r="H18" s="26">
        <f>FV((rendimento_lordo_pct-ter_banca_pct-bollo_pct)/100/12,14*12,-pac_mensile,-capitale_iniziale)-MAX(0,FV((rendimento_lordo_pct-ter_banca_pct-bollo_pct)/100/12,14*12,-pac_mensile,-capitale_iniziale)-B18)*0.26</f>
        <v/>
      </c>
      <c r="I18" s="27">
        <f>F18-H18</f>
        <v/>
      </c>
    </row>
    <row r="19">
      <c r="A19" s="21" t="n">
        <v>15</v>
      </c>
      <c r="B19" s="22">
        <f>capitale_iniziale+pac_mensile*12*15</f>
        <v/>
      </c>
      <c r="C19" s="22">
        <f>FV((rendimento_lordo_pct-ter_pct-bollo_pct)/100/12,15*12,-pac_mensile,-capitale_iniziale)</f>
        <v/>
      </c>
      <c r="D19" s="22">
        <f>MAX(0,C19-B19)</f>
        <v/>
      </c>
      <c r="E19" s="22">
        <f>D19*(tax_rate_pct/100)</f>
        <v/>
      </c>
      <c r="F19" s="23">
        <f>C19-E19</f>
        <v/>
      </c>
      <c r="G19" s="24">
        <f>F19/((1+inflazione_pct/100)^15)</f>
        <v/>
      </c>
      <c r="H19" s="22">
        <f>FV((rendimento_lordo_pct-ter_banca_pct-bollo_pct)/100/12,15*12,-pac_mensile,-capitale_iniziale)-MAX(0,FV((rendimento_lordo_pct-ter_banca_pct-bollo_pct)/100/12,15*12,-pac_mensile,-capitale_iniziale)-B19)*0.26</f>
        <v/>
      </c>
      <c r="I19" s="23">
        <f>F19-H19</f>
        <v/>
      </c>
    </row>
    <row r="20">
      <c r="A20" s="25" t="n">
        <v>16</v>
      </c>
      <c r="B20" s="26">
        <f>capitale_iniziale+pac_mensile*12*16</f>
        <v/>
      </c>
      <c r="C20" s="26">
        <f>FV((rendimento_lordo_pct-ter_pct-bollo_pct)/100/12,16*12,-pac_mensile,-capitale_iniziale)</f>
        <v/>
      </c>
      <c r="D20" s="26">
        <f>MAX(0,C20-B20)</f>
        <v/>
      </c>
      <c r="E20" s="26">
        <f>D20*(tax_rate_pct/100)</f>
        <v/>
      </c>
      <c r="F20" s="27">
        <f>C20-E20</f>
        <v/>
      </c>
      <c r="G20" s="28">
        <f>F20/((1+inflazione_pct/100)^16)</f>
        <v/>
      </c>
      <c r="H20" s="26">
        <f>FV((rendimento_lordo_pct-ter_banca_pct-bollo_pct)/100/12,16*12,-pac_mensile,-capitale_iniziale)-MAX(0,FV((rendimento_lordo_pct-ter_banca_pct-bollo_pct)/100/12,16*12,-pac_mensile,-capitale_iniziale)-B20)*0.26</f>
        <v/>
      </c>
      <c r="I20" s="27">
        <f>F20-H20</f>
        <v/>
      </c>
    </row>
    <row r="21">
      <c r="A21" s="21" t="n">
        <v>17</v>
      </c>
      <c r="B21" s="22">
        <f>capitale_iniziale+pac_mensile*12*17</f>
        <v/>
      </c>
      <c r="C21" s="22">
        <f>FV((rendimento_lordo_pct-ter_pct-bollo_pct)/100/12,17*12,-pac_mensile,-capitale_iniziale)</f>
        <v/>
      </c>
      <c r="D21" s="22">
        <f>MAX(0,C21-B21)</f>
        <v/>
      </c>
      <c r="E21" s="22">
        <f>D21*(tax_rate_pct/100)</f>
        <v/>
      </c>
      <c r="F21" s="23">
        <f>C21-E21</f>
        <v/>
      </c>
      <c r="G21" s="24">
        <f>F21/((1+inflazione_pct/100)^17)</f>
        <v/>
      </c>
      <c r="H21" s="22">
        <f>FV((rendimento_lordo_pct-ter_banca_pct-bollo_pct)/100/12,17*12,-pac_mensile,-capitale_iniziale)-MAX(0,FV((rendimento_lordo_pct-ter_banca_pct-bollo_pct)/100/12,17*12,-pac_mensile,-capitale_iniziale)-B21)*0.26</f>
        <v/>
      </c>
      <c r="I21" s="23">
        <f>F21-H21</f>
        <v/>
      </c>
    </row>
    <row r="22">
      <c r="A22" s="25" t="n">
        <v>18</v>
      </c>
      <c r="B22" s="26">
        <f>capitale_iniziale+pac_mensile*12*18</f>
        <v/>
      </c>
      <c r="C22" s="26">
        <f>FV((rendimento_lordo_pct-ter_pct-bollo_pct)/100/12,18*12,-pac_mensile,-capitale_iniziale)</f>
        <v/>
      </c>
      <c r="D22" s="26">
        <f>MAX(0,C22-B22)</f>
        <v/>
      </c>
      <c r="E22" s="26">
        <f>D22*(tax_rate_pct/100)</f>
        <v/>
      </c>
      <c r="F22" s="27">
        <f>C22-E22</f>
        <v/>
      </c>
      <c r="G22" s="28">
        <f>F22/((1+inflazione_pct/100)^18)</f>
        <v/>
      </c>
      <c r="H22" s="26">
        <f>FV((rendimento_lordo_pct-ter_banca_pct-bollo_pct)/100/12,18*12,-pac_mensile,-capitale_iniziale)-MAX(0,FV((rendimento_lordo_pct-ter_banca_pct-bollo_pct)/100/12,18*12,-pac_mensile,-capitale_iniziale)-B22)*0.26</f>
        <v/>
      </c>
      <c r="I22" s="27">
        <f>F22-H22</f>
        <v/>
      </c>
    </row>
    <row r="23">
      <c r="A23" s="21" t="n">
        <v>19</v>
      </c>
      <c r="B23" s="22">
        <f>capitale_iniziale+pac_mensile*12*19</f>
        <v/>
      </c>
      <c r="C23" s="22">
        <f>FV((rendimento_lordo_pct-ter_pct-bollo_pct)/100/12,19*12,-pac_mensile,-capitale_iniziale)</f>
        <v/>
      </c>
      <c r="D23" s="22">
        <f>MAX(0,C23-B23)</f>
        <v/>
      </c>
      <c r="E23" s="22">
        <f>D23*(tax_rate_pct/100)</f>
        <v/>
      </c>
      <c r="F23" s="23">
        <f>C23-E23</f>
        <v/>
      </c>
      <c r="G23" s="24">
        <f>F23/((1+inflazione_pct/100)^19)</f>
        <v/>
      </c>
      <c r="H23" s="22">
        <f>FV((rendimento_lordo_pct-ter_banca_pct-bollo_pct)/100/12,19*12,-pac_mensile,-capitale_iniziale)-MAX(0,FV((rendimento_lordo_pct-ter_banca_pct-bollo_pct)/100/12,19*12,-pac_mensile,-capitale_iniziale)-B23)*0.26</f>
        <v/>
      </c>
      <c r="I23" s="23">
        <f>F23-H23</f>
        <v/>
      </c>
    </row>
    <row r="24">
      <c r="A24" s="25" t="n">
        <v>20</v>
      </c>
      <c r="B24" s="26">
        <f>capitale_iniziale+pac_mensile*12*20</f>
        <v/>
      </c>
      <c r="C24" s="26">
        <f>FV((rendimento_lordo_pct-ter_pct-bollo_pct)/100/12,20*12,-pac_mensile,-capitale_iniziale)</f>
        <v/>
      </c>
      <c r="D24" s="26">
        <f>MAX(0,C24-B24)</f>
        <v/>
      </c>
      <c r="E24" s="26">
        <f>D24*(tax_rate_pct/100)</f>
        <v/>
      </c>
      <c r="F24" s="27">
        <f>C24-E24</f>
        <v/>
      </c>
      <c r="G24" s="28">
        <f>F24/((1+inflazione_pct/100)^20)</f>
        <v/>
      </c>
      <c r="H24" s="26">
        <f>FV((rendimento_lordo_pct-ter_banca_pct-bollo_pct)/100/12,20*12,-pac_mensile,-capitale_iniziale)-MAX(0,FV((rendimento_lordo_pct-ter_banca_pct-bollo_pct)/100/12,20*12,-pac_mensile,-capitale_iniziale)-B24)*0.26</f>
        <v/>
      </c>
      <c r="I24" s="27">
        <f>F24-H24</f>
        <v/>
      </c>
    </row>
    <row r="25">
      <c r="A25" s="21" t="n">
        <v>21</v>
      </c>
      <c r="B25" s="22">
        <f>capitale_iniziale+pac_mensile*12*21</f>
        <v/>
      </c>
      <c r="C25" s="22">
        <f>FV((rendimento_lordo_pct-ter_pct-bollo_pct)/100/12,21*12,-pac_mensile,-capitale_iniziale)</f>
        <v/>
      </c>
      <c r="D25" s="22">
        <f>MAX(0,C25-B25)</f>
        <v/>
      </c>
      <c r="E25" s="22">
        <f>D25*(tax_rate_pct/100)</f>
        <v/>
      </c>
      <c r="F25" s="23">
        <f>C25-E25</f>
        <v/>
      </c>
      <c r="G25" s="24">
        <f>F25/((1+inflazione_pct/100)^21)</f>
        <v/>
      </c>
      <c r="H25" s="22">
        <f>FV((rendimento_lordo_pct-ter_banca_pct-bollo_pct)/100/12,21*12,-pac_mensile,-capitale_iniziale)-MAX(0,FV((rendimento_lordo_pct-ter_banca_pct-bollo_pct)/100/12,21*12,-pac_mensile,-capitale_iniziale)-B25)*0.26</f>
        <v/>
      </c>
      <c r="I25" s="23">
        <f>F25-H25</f>
        <v/>
      </c>
    </row>
    <row r="26">
      <c r="A26" s="25" t="n">
        <v>22</v>
      </c>
      <c r="B26" s="26">
        <f>capitale_iniziale+pac_mensile*12*22</f>
        <v/>
      </c>
      <c r="C26" s="26">
        <f>FV((rendimento_lordo_pct-ter_pct-bollo_pct)/100/12,22*12,-pac_mensile,-capitale_iniziale)</f>
        <v/>
      </c>
      <c r="D26" s="26">
        <f>MAX(0,C26-B26)</f>
        <v/>
      </c>
      <c r="E26" s="26">
        <f>D26*(tax_rate_pct/100)</f>
        <v/>
      </c>
      <c r="F26" s="27">
        <f>C26-E26</f>
        <v/>
      </c>
      <c r="G26" s="28">
        <f>F26/((1+inflazione_pct/100)^22)</f>
        <v/>
      </c>
      <c r="H26" s="26">
        <f>FV((rendimento_lordo_pct-ter_banca_pct-bollo_pct)/100/12,22*12,-pac_mensile,-capitale_iniziale)-MAX(0,FV((rendimento_lordo_pct-ter_banca_pct-bollo_pct)/100/12,22*12,-pac_mensile,-capitale_iniziale)-B26)*0.26</f>
        <v/>
      </c>
      <c r="I26" s="27">
        <f>F26-H26</f>
        <v/>
      </c>
    </row>
    <row r="27">
      <c r="A27" s="21" t="n">
        <v>23</v>
      </c>
      <c r="B27" s="22">
        <f>capitale_iniziale+pac_mensile*12*23</f>
        <v/>
      </c>
      <c r="C27" s="22">
        <f>FV((rendimento_lordo_pct-ter_pct-bollo_pct)/100/12,23*12,-pac_mensile,-capitale_iniziale)</f>
        <v/>
      </c>
      <c r="D27" s="22">
        <f>MAX(0,C27-B27)</f>
        <v/>
      </c>
      <c r="E27" s="22">
        <f>D27*(tax_rate_pct/100)</f>
        <v/>
      </c>
      <c r="F27" s="23">
        <f>C27-E27</f>
        <v/>
      </c>
      <c r="G27" s="24">
        <f>F27/((1+inflazione_pct/100)^23)</f>
        <v/>
      </c>
      <c r="H27" s="22">
        <f>FV((rendimento_lordo_pct-ter_banca_pct-bollo_pct)/100/12,23*12,-pac_mensile,-capitale_iniziale)-MAX(0,FV((rendimento_lordo_pct-ter_banca_pct-bollo_pct)/100/12,23*12,-pac_mensile,-capitale_iniziale)-B27)*0.26</f>
        <v/>
      </c>
      <c r="I27" s="23">
        <f>F27-H27</f>
        <v/>
      </c>
    </row>
    <row r="28">
      <c r="A28" s="25" t="n">
        <v>24</v>
      </c>
      <c r="B28" s="26">
        <f>capitale_iniziale+pac_mensile*12*24</f>
        <v/>
      </c>
      <c r="C28" s="26">
        <f>FV((rendimento_lordo_pct-ter_pct-bollo_pct)/100/12,24*12,-pac_mensile,-capitale_iniziale)</f>
        <v/>
      </c>
      <c r="D28" s="26">
        <f>MAX(0,C28-B28)</f>
        <v/>
      </c>
      <c r="E28" s="26">
        <f>D28*(tax_rate_pct/100)</f>
        <v/>
      </c>
      <c r="F28" s="27">
        <f>C28-E28</f>
        <v/>
      </c>
      <c r="G28" s="28">
        <f>F28/((1+inflazione_pct/100)^24)</f>
        <v/>
      </c>
      <c r="H28" s="26">
        <f>FV((rendimento_lordo_pct-ter_banca_pct-bollo_pct)/100/12,24*12,-pac_mensile,-capitale_iniziale)-MAX(0,FV((rendimento_lordo_pct-ter_banca_pct-bollo_pct)/100/12,24*12,-pac_mensile,-capitale_iniziale)-B28)*0.26</f>
        <v/>
      </c>
      <c r="I28" s="27">
        <f>F28-H28</f>
        <v/>
      </c>
    </row>
    <row r="29">
      <c r="A29" s="21" t="n">
        <v>25</v>
      </c>
      <c r="B29" s="22">
        <f>capitale_iniziale+pac_mensile*12*25</f>
        <v/>
      </c>
      <c r="C29" s="22">
        <f>FV((rendimento_lordo_pct-ter_pct-bollo_pct)/100/12,25*12,-pac_mensile,-capitale_iniziale)</f>
        <v/>
      </c>
      <c r="D29" s="22">
        <f>MAX(0,C29-B29)</f>
        <v/>
      </c>
      <c r="E29" s="22">
        <f>D29*(tax_rate_pct/100)</f>
        <v/>
      </c>
      <c r="F29" s="23">
        <f>C29-E29</f>
        <v/>
      </c>
      <c r="G29" s="24">
        <f>F29/((1+inflazione_pct/100)^25)</f>
        <v/>
      </c>
      <c r="H29" s="22">
        <f>FV((rendimento_lordo_pct-ter_banca_pct-bollo_pct)/100/12,25*12,-pac_mensile,-capitale_iniziale)-MAX(0,FV((rendimento_lordo_pct-ter_banca_pct-bollo_pct)/100/12,25*12,-pac_mensile,-capitale_iniziale)-B29)*0.26</f>
        <v/>
      </c>
      <c r="I29" s="23">
        <f>F29-H29</f>
        <v/>
      </c>
    </row>
    <row r="30">
      <c r="A30" s="25" t="n">
        <v>26</v>
      </c>
      <c r="B30" s="26">
        <f>capitale_iniziale+pac_mensile*12*26</f>
        <v/>
      </c>
      <c r="C30" s="26">
        <f>FV((rendimento_lordo_pct-ter_pct-bollo_pct)/100/12,26*12,-pac_mensile,-capitale_iniziale)</f>
        <v/>
      </c>
      <c r="D30" s="26">
        <f>MAX(0,C30-B30)</f>
        <v/>
      </c>
      <c r="E30" s="26">
        <f>D30*(tax_rate_pct/100)</f>
        <v/>
      </c>
      <c r="F30" s="27">
        <f>C30-E30</f>
        <v/>
      </c>
      <c r="G30" s="28">
        <f>F30/((1+inflazione_pct/100)^26)</f>
        <v/>
      </c>
      <c r="H30" s="26">
        <f>FV((rendimento_lordo_pct-ter_banca_pct-bollo_pct)/100/12,26*12,-pac_mensile,-capitale_iniziale)-MAX(0,FV((rendimento_lordo_pct-ter_banca_pct-bollo_pct)/100/12,26*12,-pac_mensile,-capitale_iniziale)-B30)*0.26</f>
        <v/>
      </c>
      <c r="I30" s="27">
        <f>F30-H30</f>
        <v/>
      </c>
    </row>
    <row r="31">
      <c r="A31" s="21" t="n">
        <v>27</v>
      </c>
      <c r="B31" s="22">
        <f>capitale_iniziale+pac_mensile*12*27</f>
        <v/>
      </c>
      <c r="C31" s="22">
        <f>FV((rendimento_lordo_pct-ter_pct-bollo_pct)/100/12,27*12,-pac_mensile,-capitale_iniziale)</f>
        <v/>
      </c>
      <c r="D31" s="22">
        <f>MAX(0,C31-B31)</f>
        <v/>
      </c>
      <c r="E31" s="22">
        <f>D31*(tax_rate_pct/100)</f>
        <v/>
      </c>
      <c r="F31" s="23">
        <f>C31-E31</f>
        <v/>
      </c>
      <c r="G31" s="24">
        <f>F31/((1+inflazione_pct/100)^27)</f>
        <v/>
      </c>
      <c r="H31" s="22">
        <f>FV((rendimento_lordo_pct-ter_banca_pct-bollo_pct)/100/12,27*12,-pac_mensile,-capitale_iniziale)-MAX(0,FV((rendimento_lordo_pct-ter_banca_pct-bollo_pct)/100/12,27*12,-pac_mensile,-capitale_iniziale)-B31)*0.26</f>
        <v/>
      </c>
      <c r="I31" s="23">
        <f>F31-H31</f>
        <v/>
      </c>
    </row>
    <row r="32">
      <c r="A32" s="25" t="n">
        <v>28</v>
      </c>
      <c r="B32" s="26">
        <f>capitale_iniziale+pac_mensile*12*28</f>
        <v/>
      </c>
      <c r="C32" s="26">
        <f>FV((rendimento_lordo_pct-ter_pct-bollo_pct)/100/12,28*12,-pac_mensile,-capitale_iniziale)</f>
        <v/>
      </c>
      <c r="D32" s="26">
        <f>MAX(0,C32-B32)</f>
        <v/>
      </c>
      <c r="E32" s="26">
        <f>D32*(tax_rate_pct/100)</f>
        <v/>
      </c>
      <c r="F32" s="27">
        <f>C32-E32</f>
        <v/>
      </c>
      <c r="G32" s="28">
        <f>F32/((1+inflazione_pct/100)^28)</f>
        <v/>
      </c>
      <c r="H32" s="26">
        <f>FV((rendimento_lordo_pct-ter_banca_pct-bollo_pct)/100/12,28*12,-pac_mensile,-capitale_iniziale)-MAX(0,FV((rendimento_lordo_pct-ter_banca_pct-bollo_pct)/100/12,28*12,-pac_mensile,-capitale_iniziale)-B32)*0.26</f>
        <v/>
      </c>
      <c r="I32" s="27">
        <f>F32-H32</f>
        <v/>
      </c>
    </row>
    <row r="33">
      <c r="A33" s="21" t="n">
        <v>29</v>
      </c>
      <c r="B33" s="22">
        <f>capitale_iniziale+pac_mensile*12*29</f>
        <v/>
      </c>
      <c r="C33" s="22">
        <f>FV((rendimento_lordo_pct-ter_pct-bollo_pct)/100/12,29*12,-pac_mensile,-capitale_iniziale)</f>
        <v/>
      </c>
      <c r="D33" s="22">
        <f>MAX(0,C33-B33)</f>
        <v/>
      </c>
      <c r="E33" s="22">
        <f>D33*(tax_rate_pct/100)</f>
        <v/>
      </c>
      <c r="F33" s="23">
        <f>C33-E33</f>
        <v/>
      </c>
      <c r="G33" s="24">
        <f>F33/((1+inflazione_pct/100)^29)</f>
        <v/>
      </c>
      <c r="H33" s="22">
        <f>FV((rendimento_lordo_pct-ter_banca_pct-bollo_pct)/100/12,29*12,-pac_mensile,-capitale_iniziale)-MAX(0,FV((rendimento_lordo_pct-ter_banca_pct-bollo_pct)/100/12,29*12,-pac_mensile,-capitale_iniziale)-B33)*0.26</f>
        <v/>
      </c>
      <c r="I33" s="23">
        <f>F33-H33</f>
        <v/>
      </c>
    </row>
    <row r="34">
      <c r="A34" s="25" t="n">
        <v>30</v>
      </c>
      <c r="B34" s="26">
        <f>capitale_iniziale+pac_mensile*12*30</f>
        <v/>
      </c>
      <c r="C34" s="26">
        <f>FV((rendimento_lordo_pct-ter_pct-bollo_pct)/100/12,30*12,-pac_mensile,-capitale_iniziale)</f>
        <v/>
      </c>
      <c r="D34" s="26">
        <f>MAX(0,C34-B34)</f>
        <v/>
      </c>
      <c r="E34" s="26">
        <f>D34*(tax_rate_pct/100)</f>
        <v/>
      </c>
      <c r="F34" s="27">
        <f>C34-E34</f>
        <v/>
      </c>
      <c r="G34" s="28">
        <f>F34/((1+inflazione_pct/100)^30)</f>
        <v/>
      </c>
      <c r="H34" s="26">
        <f>FV((rendimento_lordo_pct-ter_banca_pct-bollo_pct)/100/12,30*12,-pac_mensile,-capitale_iniziale)-MAX(0,FV((rendimento_lordo_pct-ter_banca_pct-bollo_pct)/100/12,30*12,-pac_mensile,-capitale_iniziale)-B34)*0.26</f>
        <v/>
      </c>
      <c r="I34" s="27">
        <f>F34-H34</f>
        <v/>
      </c>
    </row>
    <row r="35">
      <c r="A35" s="21" t="n">
        <v>31</v>
      </c>
      <c r="B35" s="22">
        <f>capitale_iniziale+pac_mensile*12*31</f>
        <v/>
      </c>
      <c r="C35" s="22">
        <f>FV((rendimento_lordo_pct-ter_pct-bollo_pct)/100/12,31*12,-pac_mensile,-capitale_iniziale)</f>
        <v/>
      </c>
      <c r="D35" s="22">
        <f>MAX(0,C35-B35)</f>
        <v/>
      </c>
      <c r="E35" s="22">
        <f>D35*(tax_rate_pct/100)</f>
        <v/>
      </c>
      <c r="F35" s="23">
        <f>C35-E35</f>
        <v/>
      </c>
      <c r="G35" s="24">
        <f>F35/((1+inflazione_pct/100)^31)</f>
        <v/>
      </c>
      <c r="H35" s="22">
        <f>FV((rendimento_lordo_pct-ter_banca_pct-bollo_pct)/100/12,31*12,-pac_mensile,-capitale_iniziale)-MAX(0,FV((rendimento_lordo_pct-ter_banca_pct-bollo_pct)/100/12,31*12,-pac_mensile,-capitale_iniziale)-B35)*0.26</f>
        <v/>
      </c>
      <c r="I35" s="23">
        <f>F35-H35</f>
        <v/>
      </c>
    </row>
    <row r="36">
      <c r="A36" s="25" t="n">
        <v>32</v>
      </c>
      <c r="B36" s="26">
        <f>capitale_iniziale+pac_mensile*12*32</f>
        <v/>
      </c>
      <c r="C36" s="26">
        <f>FV((rendimento_lordo_pct-ter_pct-bollo_pct)/100/12,32*12,-pac_mensile,-capitale_iniziale)</f>
        <v/>
      </c>
      <c r="D36" s="26">
        <f>MAX(0,C36-B36)</f>
        <v/>
      </c>
      <c r="E36" s="26">
        <f>D36*(tax_rate_pct/100)</f>
        <v/>
      </c>
      <c r="F36" s="27">
        <f>C36-E36</f>
        <v/>
      </c>
      <c r="G36" s="28">
        <f>F36/((1+inflazione_pct/100)^32)</f>
        <v/>
      </c>
      <c r="H36" s="26">
        <f>FV((rendimento_lordo_pct-ter_banca_pct-bollo_pct)/100/12,32*12,-pac_mensile,-capitale_iniziale)-MAX(0,FV((rendimento_lordo_pct-ter_banca_pct-bollo_pct)/100/12,32*12,-pac_mensile,-capitale_iniziale)-B36)*0.26</f>
        <v/>
      </c>
      <c r="I36" s="27">
        <f>F36-H36</f>
        <v/>
      </c>
    </row>
    <row r="37">
      <c r="A37" s="21" t="n">
        <v>33</v>
      </c>
      <c r="B37" s="22">
        <f>capitale_iniziale+pac_mensile*12*33</f>
        <v/>
      </c>
      <c r="C37" s="22">
        <f>FV((rendimento_lordo_pct-ter_pct-bollo_pct)/100/12,33*12,-pac_mensile,-capitale_iniziale)</f>
        <v/>
      </c>
      <c r="D37" s="22">
        <f>MAX(0,C37-B37)</f>
        <v/>
      </c>
      <c r="E37" s="22">
        <f>D37*(tax_rate_pct/100)</f>
        <v/>
      </c>
      <c r="F37" s="23">
        <f>C37-E37</f>
        <v/>
      </c>
      <c r="G37" s="24">
        <f>F37/((1+inflazione_pct/100)^33)</f>
        <v/>
      </c>
      <c r="H37" s="22">
        <f>FV((rendimento_lordo_pct-ter_banca_pct-bollo_pct)/100/12,33*12,-pac_mensile,-capitale_iniziale)-MAX(0,FV((rendimento_lordo_pct-ter_banca_pct-bollo_pct)/100/12,33*12,-pac_mensile,-capitale_iniziale)-B37)*0.26</f>
        <v/>
      </c>
      <c r="I37" s="23">
        <f>F37-H37</f>
        <v/>
      </c>
    </row>
    <row r="38">
      <c r="A38" s="25" t="n">
        <v>34</v>
      </c>
      <c r="B38" s="26">
        <f>capitale_iniziale+pac_mensile*12*34</f>
        <v/>
      </c>
      <c r="C38" s="26">
        <f>FV((rendimento_lordo_pct-ter_pct-bollo_pct)/100/12,34*12,-pac_mensile,-capitale_iniziale)</f>
        <v/>
      </c>
      <c r="D38" s="26">
        <f>MAX(0,C38-B38)</f>
        <v/>
      </c>
      <c r="E38" s="26">
        <f>D38*(tax_rate_pct/100)</f>
        <v/>
      </c>
      <c r="F38" s="27">
        <f>C38-E38</f>
        <v/>
      </c>
      <c r="G38" s="28">
        <f>F38/((1+inflazione_pct/100)^34)</f>
        <v/>
      </c>
      <c r="H38" s="26">
        <f>FV((rendimento_lordo_pct-ter_banca_pct-bollo_pct)/100/12,34*12,-pac_mensile,-capitale_iniziale)-MAX(0,FV((rendimento_lordo_pct-ter_banca_pct-bollo_pct)/100/12,34*12,-pac_mensile,-capitale_iniziale)-B38)*0.26</f>
        <v/>
      </c>
      <c r="I38" s="27">
        <f>F38-H38</f>
        <v/>
      </c>
    </row>
    <row r="39">
      <c r="A39" s="21" t="n">
        <v>35</v>
      </c>
      <c r="B39" s="22">
        <f>capitale_iniziale+pac_mensile*12*35</f>
        <v/>
      </c>
      <c r="C39" s="22">
        <f>FV((rendimento_lordo_pct-ter_pct-bollo_pct)/100/12,35*12,-pac_mensile,-capitale_iniziale)</f>
        <v/>
      </c>
      <c r="D39" s="22">
        <f>MAX(0,C39-B39)</f>
        <v/>
      </c>
      <c r="E39" s="22">
        <f>D39*(tax_rate_pct/100)</f>
        <v/>
      </c>
      <c r="F39" s="23">
        <f>C39-E39</f>
        <v/>
      </c>
      <c r="G39" s="24">
        <f>F39/((1+inflazione_pct/100)^35)</f>
        <v/>
      </c>
      <c r="H39" s="22">
        <f>FV((rendimento_lordo_pct-ter_banca_pct-bollo_pct)/100/12,35*12,-pac_mensile,-capitale_iniziale)-MAX(0,FV((rendimento_lordo_pct-ter_banca_pct-bollo_pct)/100/12,35*12,-pac_mensile,-capitale_iniziale)-B39)*0.26</f>
        <v/>
      </c>
      <c r="I39" s="23">
        <f>F39-H39</f>
        <v/>
      </c>
    </row>
    <row r="40">
      <c r="A40" s="25" t="n">
        <v>36</v>
      </c>
      <c r="B40" s="26">
        <f>capitale_iniziale+pac_mensile*12*36</f>
        <v/>
      </c>
      <c r="C40" s="26">
        <f>FV((rendimento_lordo_pct-ter_pct-bollo_pct)/100/12,36*12,-pac_mensile,-capitale_iniziale)</f>
        <v/>
      </c>
      <c r="D40" s="26">
        <f>MAX(0,C40-B40)</f>
        <v/>
      </c>
      <c r="E40" s="26">
        <f>D40*(tax_rate_pct/100)</f>
        <v/>
      </c>
      <c r="F40" s="27">
        <f>C40-E40</f>
        <v/>
      </c>
      <c r="G40" s="28">
        <f>F40/((1+inflazione_pct/100)^36)</f>
        <v/>
      </c>
      <c r="H40" s="26">
        <f>FV((rendimento_lordo_pct-ter_banca_pct-bollo_pct)/100/12,36*12,-pac_mensile,-capitale_iniziale)-MAX(0,FV((rendimento_lordo_pct-ter_banca_pct-bollo_pct)/100/12,36*12,-pac_mensile,-capitale_iniziale)-B40)*0.26</f>
        <v/>
      </c>
      <c r="I40" s="27">
        <f>F40-H40</f>
        <v/>
      </c>
    </row>
    <row r="41">
      <c r="A41" s="21" t="n">
        <v>37</v>
      </c>
      <c r="B41" s="22">
        <f>capitale_iniziale+pac_mensile*12*37</f>
        <v/>
      </c>
      <c r="C41" s="22">
        <f>FV((rendimento_lordo_pct-ter_pct-bollo_pct)/100/12,37*12,-pac_mensile,-capitale_iniziale)</f>
        <v/>
      </c>
      <c r="D41" s="22">
        <f>MAX(0,C41-B41)</f>
        <v/>
      </c>
      <c r="E41" s="22">
        <f>D41*(tax_rate_pct/100)</f>
        <v/>
      </c>
      <c r="F41" s="23">
        <f>C41-E41</f>
        <v/>
      </c>
      <c r="G41" s="24">
        <f>F41/((1+inflazione_pct/100)^37)</f>
        <v/>
      </c>
      <c r="H41" s="22">
        <f>FV((rendimento_lordo_pct-ter_banca_pct-bollo_pct)/100/12,37*12,-pac_mensile,-capitale_iniziale)-MAX(0,FV((rendimento_lordo_pct-ter_banca_pct-bollo_pct)/100/12,37*12,-pac_mensile,-capitale_iniziale)-B41)*0.26</f>
        <v/>
      </c>
      <c r="I41" s="23">
        <f>F41-H41</f>
        <v/>
      </c>
    </row>
    <row r="42">
      <c r="A42" s="25" t="n">
        <v>38</v>
      </c>
      <c r="B42" s="26">
        <f>capitale_iniziale+pac_mensile*12*38</f>
        <v/>
      </c>
      <c r="C42" s="26">
        <f>FV((rendimento_lordo_pct-ter_pct-bollo_pct)/100/12,38*12,-pac_mensile,-capitale_iniziale)</f>
        <v/>
      </c>
      <c r="D42" s="26">
        <f>MAX(0,C42-B42)</f>
        <v/>
      </c>
      <c r="E42" s="26">
        <f>D42*(tax_rate_pct/100)</f>
        <v/>
      </c>
      <c r="F42" s="27">
        <f>C42-E42</f>
        <v/>
      </c>
      <c r="G42" s="28">
        <f>F42/((1+inflazione_pct/100)^38)</f>
        <v/>
      </c>
      <c r="H42" s="26">
        <f>FV((rendimento_lordo_pct-ter_banca_pct-bollo_pct)/100/12,38*12,-pac_mensile,-capitale_iniziale)-MAX(0,FV((rendimento_lordo_pct-ter_banca_pct-bollo_pct)/100/12,38*12,-pac_mensile,-capitale_iniziale)-B42)*0.26</f>
        <v/>
      </c>
      <c r="I42" s="27">
        <f>F42-H42</f>
        <v/>
      </c>
    </row>
    <row r="43">
      <c r="A43" s="21" t="n">
        <v>39</v>
      </c>
      <c r="B43" s="22">
        <f>capitale_iniziale+pac_mensile*12*39</f>
        <v/>
      </c>
      <c r="C43" s="22">
        <f>FV((rendimento_lordo_pct-ter_pct-bollo_pct)/100/12,39*12,-pac_mensile,-capitale_iniziale)</f>
        <v/>
      </c>
      <c r="D43" s="22">
        <f>MAX(0,C43-B43)</f>
        <v/>
      </c>
      <c r="E43" s="22">
        <f>D43*(tax_rate_pct/100)</f>
        <v/>
      </c>
      <c r="F43" s="23">
        <f>C43-E43</f>
        <v/>
      </c>
      <c r="G43" s="24">
        <f>F43/((1+inflazione_pct/100)^39)</f>
        <v/>
      </c>
      <c r="H43" s="22">
        <f>FV((rendimento_lordo_pct-ter_banca_pct-bollo_pct)/100/12,39*12,-pac_mensile,-capitale_iniziale)-MAX(0,FV((rendimento_lordo_pct-ter_banca_pct-bollo_pct)/100/12,39*12,-pac_mensile,-capitale_iniziale)-B43)*0.26</f>
        <v/>
      </c>
      <c r="I43" s="23">
        <f>F43-H43</f>
        <v/>
      </c>
    </row>
    <row r="44">
      <c r="A44" s="25" t="n">
        <v>40</v>
      </c>
      <c r="B44" s="26">
        <f>capitale_iniziale+pac_mensile*12*40</f>
        <v/>
      </c>
      <c r="C44" s="26">
        <f>FV((rendimento_lordo_pct-ter_pct-bollo_pct)/100/12,40*12,-pac_mensile,-capitale_iniziale)</f>
        <v/>
      </c>
      <c r="D44" s="26">
        <f>MAX(0,C44-B44)</f>
        <v/>
      </c>
      <c r="E44" s="26">
        <f>D44*(tax_rate_pct/100)</f>
        <v/>
      </c>
      <c r="F44" s="27">
        <f>C44-E44</f>
        <v/>
      </c>
      <c r="G44" s="28">
        <f>F44/((1+inflazione_pct/100)^40)</f>
        <v/>
      </c>
      <c r="H44" s="26">
        <f>FV((rendimento_lordo_pct-ter_banca_pct-bollo_pct)/100/12,40*12,-pac_mensile,-capitale_iniziale)-MAX(0,FV((rendimento_lordo_pct-ter_banca_pct-bollo_pct)/100/12,40*12,-pac_mensile,-capitale_iniziale)-B44)*0.26</f>
        <v/>
      </c>
      <c r="I44" s="27">
        <f>F44-H44</f>
        <v/>
      </c>
    </row>
    <row r="45">
      <c r="A45" s="21" t="n">
        <v>41</v>
      </c>
      <c r="B45" s="22">
        <f>capitale_iniziale+pac_mensile*12*41</f>
        <v/>
      </c>
      <c r="C45" s="22">
        <f>FV((rendimento_lordo_pct-ter_pct-bollo_pct)/100/12,41*12,-pac_mensile,-capitale_iniziale)</f>
        <v/>
      </c>
      <c r="D45" s="22">
        <f>MAX(0,C45-B45)</f>
        <v/>
      </c>
      <c r="E45" s="22">
        <f>D45*(tax_rate_pct/100)</f>
        <v/>
      </c>
      <c r="F45" s="23">
        <f>C45-E45</f>
        <v/>
      </c>
      <c r="G45" s="24">
        <f>F45/((1+inflazione_pct/100)^41)</f>
        <v/>
      </c>
      <c r="H45" s="22">
        <f>FV((rendimento_lordo_pct-ter_banca_pct-bollo_pct)/100/12,41*12,-pac_mensile,-capitale_iniziale)-MAX(0,FV((rendimento_lordo_pct-ter_banca_pct-bollo_pct)/100/12,41*12,-pac_mensile,-capitale_iniziale)-B45)*0.26</f>
        <v/>
      </c>
      <c r="I45" s="23">
        <f>F45-H45</f>
        <v/>
      </c>
    </row>
    <row r="46">
      <c r="A46" s="25" t="n">
        <v>42</v>
      </c>
      <c r="B46" s="26">
        <f>capitale_iniziale+pac_mensile*12*42</f>
        <v/>
      </c>
      <c r="C46" s="26">
        <f>FV((rendimento_lordo_pct-ter_pct-bollo_pct)/100/12,42*12,-pac_mensile,-capitale_iniziale)</f>
        <v/>
      </c>
      <c r="D46" s="26">
        <f>MAX(0,C46-B46)</f>
        <v/>
      </c>
      <c r="E46" s="26">
        <f>D46*(tax_rate_pct/100)</f>
        <v/>
      </c>
      <c r="F46" s="27">
        <f>C46-E46</f>
        <v/>
      </c>
      <c r="G46" s="28">
        <f>F46/((1+inflazione_pct/100)^42)</f>
        <v/>
      </c>
      <c r="H46" s="26">
        <f>FV((rendimento_lordo_pct-ter_banca_pct-bollo_pct)/100/12,42*12,-pac_mensile,-capitale_iniziale)-MAX(0,FV((rendimento_lordo_pct-ter_banca_pct-bollo_pct)/100/12,42*12,-pac_mensile,-capitale_iniziale)-B46)*0.26</f>
        <v/>
      </c>
      <c r="I46" s="27">
        <f>F46-H46</f>
        <v/>
      </c>
    </row>
    <row r="47">
      <c r="A47" s="21" t="n">
        <v>43</v>
      </c>
      <c r="B47" s="22">
        <f>capitale_iniziale+pac_mensile*12*43</f>
        <v/>
      </c>
      <c r="C47" s="22">
        <f>FV((rendimento_lordo_pct-ter_pct-bollo_pct)/100/12,43*12,-pac_mensile,-capitale_iniziale)</f>
        <v/>
      </c>
      <c r="D47" s="22">
        <f>MAX(0,C47-B47)</f>
        <v/>
      </c>
      <c r="E47" s="22">
        <f>D47*(tax_rate_pct/100)</f>
        <v/>
      </c>
      <c r="F47" s="23">
        <f>C47-E47</f>
        <v/>
      </c>
      <c r="G47" s="24">
        <f>F47/((1+inflazione_pct/100)^43)</f>
        <v/>
      </c>
      <c r="H47" s="22">
        <f>FV((rendimento_lordo_pct-ter_banca_pct-bollo_pct)/100/12,43*12,-pac_mensile,-capitale_iniziale)-MAX(0,FV((rendimento_lordo_pct-ter_banca_pct-bollo_pct)/100/12,43*12,-pac_mensile,-capitale_iniziale)-B47)*0.26</f>
        <v/>
      </c>
      <c r="I47" s="23">
        <f>F47-H47</f>
        <v/>
      </c>
    </row>
    <row r="48">
      <c r="A48" s="25" t="n">
        <v>44</v>
      </c>
      <c r="B48" s="26">
        <f>capitale_iniziale+pac_mensile*12*44</f>
        <v/>
      </c>
      <c r="C48" s="26">
        <f>FV((rendimento_lordo_pct-ter_pct-bollo_pct)/100/12,44*12,-pac_mensile,-capitale_iniziale)</f>
        <v/>
      </c>
      <c r="D48" s="26">
        <f>MAX(0,C48-B48)</f>
        <v/>
      </c>
      <c r="E48" s="26">
        <f>D48*(tax_rate_pct/100)</f>
        <v/>
      </c>
      <c r="F48" s="27">
        <f>C48-E48</f>
        <v/>
      </c>
      <c r="G48" s="28">
        <f>F48/((1+inflazione_pct/100)^44)</f>
        <v/>
      </c>
      <c r="H48" s="26">
        <f>FV((rendimento_lordo_pct-ter_banca_pct-bollo_pct)/100/12,44*12,-pac_mensile,-capitale_iniziale)-MAX(0,FV((rendimento_lordo_pct-ter_banca_pct-bollo_pct)/100/12,44*12,-pac_mensile,-capitale_iniziale)-B48)*0.26</f>
        <v/>
      </c>
      <c r="I48" s="27">
        <f>F48-H48</f>
        <v/>
      </c>
    </row>
    <row r="49">
      <c r="A49" s="21" t="n">
        <v>45</v>
      </c>
      <c r="B49" s="22">
        <f>capitale_iniziale+pac_mensile*12*45</f>
        <v/>
      </c>
      <c r="C49" s="22">
        <f>FV((rendimento_lordo_pct-ter_pct-bollo_pct)/100/12,45*12,-pac_mensile,-capitale_iniziale)</f>
        <v/>
      </c>
      <c r="D49" s="22">
        <f>MAX(0,C49-B49)</f>
        <v/>
      </c>
      <c r="E49" s="22">
        <f>D49*(tax_rate_pct/100)</f>
        <v/>
      </c>
      <c r="F49" s="23">
        <f>C49-E49</f>
        <v/>
      </c>
      <c r="G49" s="24">
        <f>F49/((1+inflazione_pct/100)^45)</f>
        <v/>
      </c>
      <c r="H49" s="22">
        <f>FV((rendimento_lordo_pct-ter_banca_pct-bollo_pct)/100/12,45*12,-pac_mensile,-capitale_iniziale)-MAX(0,FV((rendimento_lordo_pct-ter_banca_pct-bollo_pct)/100/12,45*12,-pac_mensile,-capitale_iniziale)-B49)*0.26</f>
        <v/>
      </c>
      <c r="I49" s="23">
        <f>F49-H49</f>
        <v/>
      </c>
    </row>
    <row r="50">
      <c r="A50" s="25" t="n">
        <v>46</v>
      </c>
      <c r="B50" s="26">
        <f>capitale_iniziale+pac_mensile*12*46</f>
        <v/>
      </c>
      <c r="C50" s="26">
        <f>FV((rendimento_lordo_pct-ter_pct-bollo_pct)/100/12,46*12,-pac_mensile,-capitale_iniziale)</f>
        <v/>
      </c>
      <c r="D50" s="26">
        <f>MAX(0,C50-B50)</f>
        <v/>
      </c>
      <c r="E50" s="26">
        <f>D50*(tax_rate_pct/100)</f>
        <v/>
      </c>
      <c r="F50" s="27">
        <f>C50-E50</f>
        <v/>
      </c>
      <c r="G50" s="28">
        <f>F50/((1+inflazione_pct/100)^46)</f>
        <v/>
      </c>
      <c r="H50" s="26">
        <f>FV((rendimento_lordo_pct-ter_banca_pct-bollo_pct)/100/12,46*12,-pac_mensile,-capitale_iniziale)-MAX(0,FV((rendimento_lordo_pct-ter_banca_pct-bollo_pct)/100/12,46*12,-pac_mensile,-capitale_iniziale)-B50)*0.26</f>
        <v/>
      </c>
      <c r="I50" s="27">
        <f>F50-H50</f>
        <v/>
      </c>
    </row>
    <row r="51">
      <c r="A51" s="21" t="n">
        <v>47</v>
      </c>
      <c r="B51" s="22">
        <f>capitale_iniziale+pac_mensile*12*47</f>
        <v/>
      </c>
      <c r="C51" s="22">
        <f>FV((rendimento_lordo_pct-ter_pct-bollo_pct)/100/12,47*12,-pac_mensile,-capitale_iniziale)</f>
        <v/>
      </c>
      <c r="D51" s="22">
        <f>MAX(0,C51-B51)</f>
        <v/>
      </c>
      <c r="E51" s="22">
        <f>D51*(tax_rate_pct/100)</f>
        <v/>
      </c>
      <c r="F51" s="23">
        <f>C51-E51</f>
        <v/>
      </c>
      <c r="G51" s="24">
        <f>F51/((1+inflazione_pct/100)^47)</f>
        <v/>
      </c>
      <c r="H51" s="22">
        <f>FV((rendimento_lordo_pct-ter_banca_pct-bollo_pct)/100/12,47*12,-pac_mensile,-capitale_iniziale)-MAX(0,FV((rendimento_lordo_pct-ter_banca_pct-bollo_pct)/100/12,47*12,-pac_mensile,-capitale_iniziale)-B51)*0.26</f>
        <v/>
      </c>
      <c r="I51" s="23">
        <f>F51-H51</f>
        <v/>
      </c>
    </row>
    <row r="52">
      <c r="A52" s="25" t="n">
        <v>48</v>
      </c>
      <c r="B52" s="26">
        <f>capitale_iniziale+pac_mensile*12*48</f>
        <v/>
      </c>
      <c r="C52" s="26">
        <f>FV((rendimento_lordo_pct-ter_pct-bollo_pct)/100/12,48*12,-pac_mensile,-capitale_iniziale)</f>
        <v/>
      </c>
      <c r="D52" s="26">
        <f>MAX(0,C52-B52)</f>
        <v/>
      </c>
      <c r="E52" s="26">
        <f>D52*(tax_rate_pct/100)</f>
        <v/>
      </c>
      <c r="F52" s="27">
        <f>C52-E52</f>
        <v/>
      </c>
      <c r="G52" s="28">
        <f>F52/((1+inflazione_pct/100)^48)</f>
        <v/>
      </c>
      <c r="H52" s="26">
        <f>FV((rendimento_lordo_pct-ter_banca_pct-bollo_pct)/100/12,48*12,-pac_mensile,-capitale_iniziale)-MAX(0,FV((rendimento_lordo_pct-ter_banca_pct-bollo_pct)/100/12,48*12,-pac_mensile,-capitale_iniziale)-B52)*0.26</f>
        <v/>
      </c>
      <c r="I52" s="27">
        <f>F52-H52</f>
        <v/>
      </c>
    </row>
    <row r="53">
      <c r="A53" s="21" t="n">
        <v>49</v>
      </c>
      <c r="B53" s="22">
        <f>capitale_iniziale+pac_mensile*12*49</f>
        <v/>
      </c>
      <c r="C53" s="22">
        <f>FV((rendimento_lordo_pct-ter_pct-bollo_pct)/100/12,49*12,-pac_mensile,-capitale_iniziale)</f>
        <v/>
      </c>
      <c r="D53" s="22">
        <f>MAX(0,C53-B53)</f>
        <v/>
      </c>
      <c r="E53" s="22">
        <f>D53*(tax_rate_pct/100)</f>
        <v/>
      </c>
      <c r="F53" s="23">
        <f>C53-E53</f>
        <v/>
      </c>
      <c r="G53" s="24">
        <f>F53/((1+inflazione_pct/100)^49)</f>
        <v/>
      </c>
      <c r="H53" s="22">
        <f>FV((rendimento_lordo_pct-ter_banca_pct-bollo_pct)/100/12,49*12,-pac_mensile,-capitale_iniziale)-MAX(0,FV((rendimento_lordo_pct-ter_banca_pct-bollo_pct)/100/12,49*12,-pac_mensile,-capitale_iniziale)-B53)*0.26</f>
        <v/>
      </c>
      <c r="I53" s="23">
        <f>F53-H53</f>
        <v/>
      </c>
    </row>
    <row r="54">
      <c r="A54" s="25" t="n">
        <v>50</v>
      </c>
      <c r="B54" s="26">
        <f>capitale_iniziale+pac_mensile*12*50</f>
        <v/>
      </c>
      <c r="C54" s="26">
        <f>FV((rendimento_lordo_pct-ter_pct-bollo_pct)/100/12,50*12,-pac_mensile,-capitale_iniziale)</f>
        <v/>
      </c>
      <c r="D54" s="26">
        <f>MAX(0,C54-B54)</f>
        <v/>
      </c>
      <c r="E54" s="26">
        <f>D54*(tax_rate_pct/100)</f>
        <v/>
      </c>
      <c r="F54" s="27">
        <f>C54-E54</f>
        <v/>
      </c>
      <c r="G54" s="28">
        <f>F54/((1+inflazione_pct/100)^50)</f>
        <v/>
      </c>
      <c r="H54" s="26">
        <f>FV((rendimento_lordo_pct-ter_banca_pct-bollo_pct)/100/12,50*12,-pac_mensile,-capitale_iniziale)-MAX(0,FV((rendimento_lordo_pct-ter_banca_pct-bollo_pct)/100/12,50*12,-pac_mensile,-capitale_iniziale)-B54)*0.26</f>
        <v/>
      </c>
      <c r="I54" s="27">
        <f>F54-H54</f>
        <v/>
      </c>
    </row>
  </sheetData>
  <mergeCells count="2">
    <mergeCell ref="A2:K2"/>
    <mergeCell ref="A1:K1"/>
  </mergeCells>
  <conditionalFormatting sqref="F5:F54">
    <cfRule type="dataBar" priority="1">
      <dataBar showValue="1">
        <cfvo type="min"/>
        <cfvo type="max"/>
        <color rgb="00E8A33D"/>
      </dataBar>
    </cfRule>
  </conditionalFormatting>
  <conditionalFormatting sqref="I5:I54">
    <cfRule type="colorScale" priority="2">
      <colorScale>
        <cfvo type="min"/>
        <cfvo type="percentile" val="50"/>
        <cfvo type="max"/>
        <color rgb="00FFFFFF"/>
        <color rgb="00D4F5E5"/>
        <color rgb="003DDC97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📊  Risultato — il tuo capitale finale</t>
        </is>
      </c>
    </row>
    <row r="2" ht="16" customHeight="1"/>
    <row r="3">
      <c r="A3" s="29" t="inlineStr">
        <is>
          <t>Capitale netto NOMINAL a fine periodo (€ futuri, post-costi e tasse)</t>
        </is>
      </c>
    </row>
    <row r="4" ht="28" customHeight="1">
      <c r="A4" s="30">
        <f>INDEX(Calcolo!F5:F54, anni)</f>
        <v/>
      </c>
    </row>
    <row r="5" ht="28" customHeight="1"/>
    <row r="6" ht="28" customHeight="1"/>
    <row r="7" ht="12" customHeight="1"/>
    <row r="8">
      <c r="A8" s="31" t="inlineStr">
        <is>
          <t>Capitale REALE (potere d'acquisto in € di oggi, post-inflazione)</t>
        </is>
      </c>
    </row>
    <row r="9" ht="32" customHeight="1">
      <c r="A9" s="32">
        <f>INDEX(Calcolo!G5:G54, anni)</f>
        <v/>
      </c>
    </row>
    <row r="10" ht="16" customHeight="1"/>
    <row r="11" ht="30" customHeight="1">
      <c r="A11" s="4" t="inlineStr">
        <is>
          <t>⚖️  Confronto strutturale: ETF passivo vs Fondo bancario</t>
        </is>
      </c>
    </row>
    <row r="12" ht="32" customHeight="1">
      <c r="A12" s="9" t="inlineStr">
        <is>
          <t>Differenza in mano alla fine</t>
        </is>
      </c>
      <c r="E12" s="33">
        <f>INDEX(Calcolo!I5:I54, anni)</f>
        <v/>
      </c>
    </row>
    <row r="13" ht="40" customHeight="1">
      <c r="A13" s="8" t="inlineStr">
        <is>
          <t>Stesso capitale, stesso PAC, stesso mercato. Cambia solo il TER del prodotto: 0,20% (ETF UCITS passivo) vs 1,80% (fondo bilanciato bancario italiano). Quel 1,6% di differenza, composto, è quello che la banca trattiene tramite il prodotto.</t>
        </is>
      </c>
    </row>
    <row r="14" ht="12" customHeight="1"/>
    <row r="15" ht="30" customHeight="1">
      <c r="A15" s="4" t="inlineStr">
        <is>
          <t>🧾  Riepilogo dettagliato</t>
        </is>
      </c>
    </row>
    <row r="16" ht="28" customHeight="1">
      <c r="A16" s="34" t="inlineStr">
        <is>
          <t>Capitale iniziale</t>
        </is>
      </c>
      <c r="B16" s="35" t="n"/>
      <c r="C16" s="35" t="n"/>
      <c r="D16" s="35" t="n"/>
      <c r="E16" s="36">
        <f>capitale_iniziale</f>
        <v/>
      </c>
      <c r="F16" s="35" t="n"/>
    </row>
    <row r="17" ht="28" customHeight="1">
      <c r="A17" s="34" t="inlineStr">
        <is>
          <t>Versato totale (PAC × mesi)</t>
        </is>
      </c>
      <c r="B17" s="35" t="n"/>
      <c r="C17" s="35" t="n"/>
      <c r="D17" s="35" t="n"/>
      <c r="E17" s="36">
        <f>pac_mensile*12*anni</f>
        <v/>
      </c>
      <c r="F17" s="35" t="n"/>
    </row>
    <row r="18" ht="28" customHeight="1">
      <c r="A18" s="37" t="inlineStr">
        <is>
          <t>TOTALE INVESTITO</t>
        </is>
      </c>
      <c r="B18" s="35" t="n"/>
      <c r="C18" s="35" t="n"/>
      <c r="D18" s="35" t="n"/>
      <c r="E18" s="38">
        <f>capitale_iniziale+pac_mensile*12*anni</f>
        <v/>
      </c>
      <c r="F18" s="35" t="n"/>
    </row>
    <row r="19" ht="28" customHeight="1">
      <c r="A19" s="34" t="inlineStr">
        <is>
          <t>Capitale lordo fine periodo (ETF)</t>
        </is>
      </c>
      <c r="B19" s="35" t="n"/>
      <c r="C19" s="35" t="n"/>
      <c r="D19" s="35" t="n"/>
      <c r="E19" s="36">
        <f>INDEX(Calcolo!C5:C54, anni)</f>
        <v/>
      </c>
      <c r="F19" s="35" t="n"/>
    </row>
    <row r="20" ht="28" customHeight="1">
      <c r="A20" s="34" t="inlineStr">
        <is>
          <t>Capital gain (lordo)</t>
        </is>
      </c>
      <c r="B20" s="35" t="n"/>
      <c r="C20" s="35" t="n"/>
      <c r="D20" s="35" t="n"/>
      <c r="E20" s="36">
        <f>INDEX(Calcolo!D5:D54, anni)</f>
        <v/>
      </c>
      <c r="F20" s="35" t="n"/>
    </row>
    <row r="21" ht="28" customHeight="1">
      <c r="A21" s="34" t="inlineStr">
        <is>
          <t>Tasse cap gain alla vendita</t>
        </is>
      </c>
      <c r="B21" s="35" t="n"/>
      <c r="C21" s="35" t="n"/>
      <c r="D21" s="35" t="n"/>
      <c r="E21" s="36">
        <f>INDEX(Calcolo!E5:E54, anni)</f>
        <v/>
      </c>
      <c r="F21" s="35" t="n"/>
    </row>
    <row r="22" ht="28" customHeight="1">
      <c r="A22" s="37" t="inlineStr">
        <is>
          <t>CAPITALE NETTO ETF (nominal)</t>
        </is>
      </c>
      <c r="B22" s="35" t="n"/>
      <c r="C22" s="35" t="n"/>
      <c r="D22" s="35" t="n"/>
      <c r="E22" s="38">
        <f>INDEX(Calcolo!F5:F54, anni)</f>
        <v/>
      </c>
      <c r="F22" s="35" t="n"/>
    </row>
    <row r="23" ht="28" customHeight="1">
      <c r="A23" s="37" t="inlineStr">
        <is>
          <t>Capitale REALE ETF (€ oggi)</t>
        </is>
      </c>
      <c r="B23" s="35" t="n"/>
      <c r="C23" s="35" t="n"/>
      <c r="D23" s="35" t="n"/>
      <c r="E23" s="38">
        <f>INDEX(Calcolo!G5:G54, anni)</f>
        <v/>
      </c>
      <c r="F23" s="35" t="n"/>
    </row>
    <row r="24" ht="28" customHeight="1">
      <c r="A24" s="34" t="inlineStr">
        <is>
          <t>Capitale netto Fondo banca (per confronto)</t>
        </is>
      </c>
      <c r="B24" s="35" t="n"/>
      <c r="C24" s="35" t="n"/>
      <c r="D24" s="35" t="n"/>
      <c r="E24" s="36">
        <f>INDEX(Calcolo!H5:H54, anni)</f>
        <v/>
      </c>
      <c r="F24" s="35" t="n"/>
    </row>
    <row r="25" ht="28" customHeight="1">
      <c r="A25" s="37" t="inlineStr">
        <is>
          <t>Guadagno netto ETF totale</t>
        </is>
      </c>
      <c r="B25" s="35" t="n"/>
      <c r="C25" s="35" t="n"/>
      <c r="D25" s="35" t="n"/>
      <c r="E25" s="38">
        <f>INDEX(Calcolo!F5:F54, anni)-(capitale_iniziale+pac_mensile*12*anni)</f>
        <v/>
      </c>
      <c r="F25" s="35" t="n"/>
    </row>
    <row r="27" ht="16" customHeight="1"/>
    <row r="28" ht="28" customHeight="1">
      <c r="A28" s="4" t="inlineStr">
        <is>
          <t>📈  Crescita anno per anno (versato vs lordo vs netto)</t>
        </is>
      </c>
    </row>
    <row r="51" ht="12" customHeight="1"/>
    <row r="52" ht="28" customHeight="1">
      <c r="A52" s="10" t="inlineStr">
        <is>
          <t>🌐  didiertommasi.com    📩  Newsletter settimanale    📊  Materiale educativo  ·  Non consulenza personalizzata</t>
        </is>
      </c>
    </row>
  </sheetData>
  <mergeCells count="32">
    <mergeCell ref="E12:F12"/>
    <mergeCell ref="A17:D17"/>
    <mergeCell ref="A23:D23"/>
    <mergeCell ref="A22:D22"/>
    <mergeCell ref="E24:F24"/>
    <mergeCell ref="A20:D20"/>
    <mergeCell ref="E23:F23"/>
    <mergeCell ref="A19:D19"/>
    <mergeCell ref="A3:F3"/>
    <mergeCell ref="E17:F17"/>
    <mergeCell ref="E20:F20"/>
    <mergeCell ref="E19:F19"/>
    <mergeCell ref="A8:F8"/>
    <mergeCell ref="A24:D24"/>
    <mergeCell ref="A52:F52"/>
    <mergeCell ref="A28:F28"/>
    <mergeCell ref="A13:F13"/>
    <mergeCell ref="A4:F6"/>
    <mergeCell ref="A9:F9"/>
    <mergeCell ref="A25:D25"/>
    <mergeCell ref="A16:D16"/>
    <mergeCell ref="A15:F15"/>
    <mergeCell ref="A11:F11"/>
    <mergeCell ref="A18:D18"/>
    <mergeCell ref="E16:F16"/>
    <mergeCell ref="A12:D12"/>
    <mergeCell ref="E25:F25"/>
    <mergeCell ref="A1:F1"/>
    <mergeCell ref="A21:D21"/>
    <mergeCell ref="E22:F22"/>
    <mergeCell ref="E18:F18"/>
    <mergeCell ref="E21:F2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2026-04-28T20:43:47Z</dcterms:created>
  <dcterms:modified xsi:type="dcterms:W3CDTF">2026-04-28T20:43:47Z</dcterms:modified>
</cp:coreProperties>
</file>