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_iniziale">Input!$B$5</definedName>
    <definedName name="capitale_target">Input!$B$6</definedName>
    <definedName name="anni">Input!$B$7</definedName>
    <definedName name="rendimento_lordo_pct">Input!$B$8</definedName>
    <definedName name="ter_pct">Input!$B$9</definedName>
    <definedName name="bollo_pct">Input!$B$10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"/>
    <numFmt numFmtId="165" formatCode="0.00&quot;%&quot;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alibri"/>
      <b val="1"/>
      <color rgb="00E8A33D"/>
      <sz val="14"/>
    </font>
    <font>
      <name val="Calibri"/>
      <color rgb="004A5568"/>
      <sz val="10"/>
    </font>
    <font>
      <name val="Consolas"/>
      <color rgb="001A2950"/>
      <sz val="9"/>
    </font>
    <font>
      <name val="Calibri"/>
      <i val="1"/>
      <color rgb="006B728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9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FF8E1"/>
        <bgColor rgb="00FFF8E1"/>
      </patternFill>
    </fill>
    <fill>
      <patternFill patternType="solid">
        <fgColor rgb="00FAFAF7"/>
        <bgColor rgb="00FAFAF7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 indent="1"/>
    </xf>
    <xf numFmtId="0" fontId="4" fillId="5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top" wrapText="1" indent="1"/>
    </xf>
    <xf numFmtId="0" fontId="6" fillId="6" borderId="1" applyAlignment="1" pivotButton="0" quotePrefix="0" xfId="0">
      <alignment horizontal="left" vertical="top" wrapText="1" indent="1"/>
    </xf>
    <xf numFmtId="0" fontId="7" fillId="0" borderId="0" applyAlignment="1" pivotButton="0" quotePrefix="0" xfId="0">
      <alignment horizontal="left" vertical="top" wrapText="1" indent="1"/>
    </xf>
    <xf numFmtId="0" fontId="8" fillId="3" borderId="0" applyAlignment="1" pivotButton="0" quotePrefix="0" xfId="0">
      <alignment horizontal="center" vertical="center" wrapText="1"/>
    </xf>
    <xf numFmtId="0" fontId="9" fillId="2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left" vertical="center" wrapText="1" indent="1"/>
    </xf>
    <xf numFmtId="164" fontId="11" fillId="7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left" vertical="top" wrapText="1" indent="1"/>
    </xf>
    <xf numFmtId="1" fontId="11" fillId="7" borderId="1" applyAlignment="1" pivotButton="0" quotePrefix="0" xfId="0">
      <alignment horizontal="center" vertical="center" wrapText="1"/>
    </xf>
    <xf numFmtId="165" fontId="11" fillId="7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164" fontId="5" fillId="0" borderId="2" applyAlignment="1" pivotButton="0" quotePrefix="0" xfId="0">
      <alignment horizontal="right" vertical="center" indent="1"/>
    </xf>
    <xf numFmtId="164" fontId="12" fillId="0" borderId="2" applyAlignment="1" pivotButton="0" quotePrefix="0" xfId="0">
      <alignment horizontal="right" vertical="center" indent="1"/>
    </xf>
    <xf numFmtId="0" fontId="12" fillId="8" borderId="0" applyAlignment="1" pivotButton="0" quotePrefix="0" xfId="0">
      <alignment horizontal="center" vertical="center" wrapText="1"/>
    </xf>
    <xf numFmtId="164" fontId="5" fillId="8" borderId="2" applyAlignment="1" pivotButton="0" quotePrefix="0" xfId="0">
      <alignment horizontal="right" vertical="center" indent="1"/>
    </xf>
    <xf numFmtId="164" fontId="12" fillId="8" borderId="2" applyAlignment="1" pivotButton="0" quotePrefix="0" xfId="0">
      <alignment horizontal="right" vertical="center" indent="1"/>
    </xf>
    <xf numFmtId="0" fontId="13" fillId="0" borderId="0" applyAlignment="1" pivotButton="0" quotePrefix="0" xfId="0">
      <alignment horizontal="center" vertical="center" wrapText="1"/>
    </xf>
    <xf numFmtId="164" fontId="14" fillId="4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center" wrapText="1"/>
    </xf>
    <xf numFmtId="164" fontId="16" fillId="6" borderId="0" applyAlignment="1" pivotButton="0" quotePrefix="0" xfId="0">
      <alignment horizontal="center" vertical="center" wrapText="1"/>
    </xf>
    <xf numFmtId="0" fontId="10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17" fillId="0" borderId="3" applyAlignment="1" pivotButton="0" quotePrefix="0" xfId="0">
      <alignment horizontal="right" vertical="center" indent="1"/>
    </xf>
    <xf numFmtId="1" fontId="17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'Calcolo'!$C$5:$C$54</f>
            </numRef>
          </val>
        </ser>
        <ser>
          <idx val="1"/>
          <order val="1"/>
          <tx>
            <strRef>
              <f>'Calcolo'!D4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'Calcolo'!$D$5:$D$54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19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Obiettivo risparmio — quanto al mese?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€10k → €200k in 20 anni al 7% = €327,80/mese. Mai 'troppo tardi'.</t>
        </is>
      </c>
    </row>
    <row r="5" ht="12" customHeight="1"/>
    <row r="6" ht="30" customHeight="1">
      <c r="A6" s="4" t="inlineStr">
        <is>
          <t>➊ Come funziona</t>
        </is>
      </c>
    </row>
    <row r="7" ht="36" customHeight="1">
      <c r="A7" s="5" t="inlineStr">
        <is>
          <t>1.</t>
        </is>
      </c>
      <c r="B7" s="6" t="inlineStr">
        <is>
          <t>Vai al foglio 'Input' e modifica le celle gialle: capitale che hai oggi, capitale obiettivo, anni a disposizione, rendimento atteso, costi.</t>
        </is>
      </c>
    </row>
    <row r="8" ht="36" customHeight="1">
      <c r="A8" s="5" t="inlineStr">
        <is>
          <t>2.</t>
        </is>
      </c>
      <c r="B8" s="6" t="inlineStr">
        <is>
          <t>Apri 'Risultato' per vedere il PMT mensile necessario + il riepilogo dell'effort totale.</t>
        </is>
      </c>
    </row>
    <row r="9" ht="36" customHeight="1">
      <c r="A9" s="5" t="inlineStr">
        <is>
          <t>3.</t>
        </is>
      </c>
      <c r="B9" s="6" t="inlineStr">
        <is>
          <t>Apri 'Calcolo' per la timeline anno-per-anno con la crescita progressiva del capitale.</t>
        </is>
      </c>
    </row>
    <row r="10" ht="36" customHeight="1">
      <c r="A10" s="5" t="inlineStr">
        <is>
          <t>4.</t>
        </is>
      </c>
      <c r="B10" s="6" t="inlineStr">
        <is>
          <t>Modifica gli input per scenari diversi: rendimento più conservativo (5%), orizzonte più lungo (30y), capitale partenza più alto.</t>
        </is>
      </c>
    </row>
    <row r="11" ht="36" customHeight="1">
      <c r="A11" s="5" t="inlineStr">
        <is>
          <t>5.</t>
        </is>
      </c>
      <c r="B11" s="6" t="inlineStr">
        <is>
          <t>Salva una copia su iCloud/Drive per averlo a portata di mano.</t>
        </is>
      </c>
    </row>
    <row r="12" ht="12" customHeight="1"/>
    <row r="13" ht="30" customHeight="1">
      <c r="A13" s="4" t="inlineStr">
        <is>
          <t>➋ Le formule applicate</t>
        </is>
      </c>
    </row>
    <row r="14">
      <c r="A14" s="7" t="inlineStr">
        <is>
          <t>PMT mensile per raggiungere capitale_target a N anni:
  =PMT(rate_mensile, N×12, -capitale_iniziale, capitale_target)
  dove rate_mensile = (rendimento_lordo% − TER% − bollo%) / 100 / 12
Capitale anno y (verifica timeline):
  =FV(rate_mensile, y×12, -PMT, -capitale_iniziale)
Result PMT è negativo (outflow). Il foglio mostra il valore assoluto.</t>
        </is>
      </c>
    </row>
    <row r="15"/>
    <row r="16"/>
    <row r="17"/>
    <row r="18"/>
    <row r="19" ht="12" customHeight="1"/>
    <row r="20" ht="30" customHeight="1">
      <c r="A20" s="4" t="inlineStr">
        <is>
          <t>➌ Cosa devi sapere</t>
        </is>
      </c>
    </row>
    <row r="21">
      <c r="A21" s="8" t="inlineStr">
        <is>
          <t>Le formule usano compound mensile esatto via PMT() / FV() native Excel — gap zero vs simulazione manuale. Il bollo dossier 0,2% (DPR 642/1972) è modellato come riduzione del tasso annuo lordo. Il PMT mostrato non considera la deduzione fiscale se versi in un fondo pensione (in quel caso il PMT effettivo netto è inferiore di ~35% per chi ha aliquota IRPEF marginale 35%). Materiale educativo, non consulenza.</t>
        </is>
      </c>
    </row>
    <row r="22"/>
    <row r="23"/>
    <row r="24"/>
    <row r="25"/>
    <row r="26" ht="12" customHeight="1"/>
    <row r="27" ht="28" customHeight="1">
      <c r="A27" s="9" t="inlineStr">
        <is>
          <t>🌐  didiertommasi.com    📩  Newsletter settimanale    📊  Materiale educativo  ·  Non consulenza personalizzata</t>
        </is>
      </c>
    </row>
  </sheetData>
  <mergeCells count="14">
    <mergeCell ref="A2:F2"/>
    <mergeCell ref="B7:F7"/>
    <mergeCell ref="A14:F18"/>
    <mergeCell ref="A13:F13"/>
    <mergeCell ref="B10:F10"/>
    <mergeCell ref="A1:F1"/>
    <mergeCell ref="B11:F11"/>
    <mergeCell ref="A27:F27"/>
    <mergeCell ref="A6:F6"/>
    <mergeCell ref="A21:F25"/>
    <mergeCell ref="A4:F4"/>
    <mergeCell ref="B8:F8"/>
    <mergeCell ref="A20:F20"/>
    <mergeCell ref="B9:F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Il foglio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Capitale iniziale (oggi)</t>
        </is>
      </c>
      <c r="B5" s="12" t="n">
        <v>10000</v>
      </c>
      <c r="C5" s="13" t="inlineStr">
        <is>
          <t>€ — quanto hai già investito (può essere 0 se parti da zero)</t>
        </is>
      </c>
    </row>
    <row r="6" ht="30" customHeight="1">
      <c r="A6" s="11" t="inlineStr">
        <is>
          <t>Capitale obiettivo</t>
        </is>
      </c>
      <c r="B6" s="12" t="n">
        <v>200000</v>
      </c>
      <c r="C6" s="13" t="inlineStr">
        <is>
          <t>€ — quanto vuoi avere a fine periodo (es. liquidazione mutuo, fondo università figli)</t>
        </is>
      </c>
    </row>
    <row r="7" ht="30" customHeight="1">
      <c r="A7" s="11" t="inlineStr">
        <is>
          <t>Anni a disposizione</t>
        </is>
      </c>
      <c r="B7" s="14" t="n">
        <v>20</v>
      </c>
      <c r="C7" s="13" t="inlineStr">
        <is>
          <t>anni — orizzonte temporale (1 ÷ 50)</t>
        </is>
      </c>
    </row>
    <row r="8" ht="30" customHeight="1">
      <c r="A8" s="11" t="inlineStr">
        <is>
          <t>Rendimento lordo atteso</t>
        </is>
      </c>
      <c r="B8" s="15" t="n">
        <v>7</v>
      </c>
      <c r="C8" s="13" t="inlineStr">
        <is>
          <t>% annuo nominale (S&amp;P 500 storico Damodaran ~7%)</t>
        </is>
      </c>
    </row>
    <row r="9" ht="30" customHeight="1">
      <c r="A9" s="11" t="inlineStr">
        <is>
          <t>TER strumento</t>
        </is>
      </c>
      <c r="B9" s="15" t="n">
        <v>0.2</v>
      </c>
      <c r="C9" s="13" t="inlineStr">
        <is>
          <t>% annuo — costo strumento (ETF UCITS 0,1-0,3%)</t>
        </is>
      </c>
    </row>
    <row r="10" ht="30" customHeight="1">
      <c r="A10" s="11" t="inlineStr">
        <is>
          <t>Bollo dossier annuo</t>
        </is>
      </c>
      <c r="B10" s="15" t="n">
        <v>0.2</v>
      </c>
      <c r="C10" s="13" t="inlineStr">
        <is>
          <t>% — imposta di bollo titoli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22" customWidth="1" min="4" max="4"/>
  </cols>
  <sheetData>
    <row r="1" ht="42" customHeight="1">
      <c r="A1" s="1" t="inlineStr">
        <is>
          <t>🧮  Calcolo — timeline anno per anno</t>
        </is>
      </c>
    </row>
    <row r="2" ht="22" customHeight="1">
      <c r="A2" s="2" t="inlineStr">
        <is>
          <t>Timeline crescita capitale verso obiettivo (verifica visiva del PMT calcolato).</t>
        </is>
      </c>
    </row>
    <row r="3" ht="12" customHeight="1"/>
    <row r="4" ht="36" customHeight="1">
      <c r="A4" s="10" t="inlineStr">
        <is>
          <t>Anno</t>
        </is>
      </c>
      <c r="B4" s="10" t="inlineStr">
        <is>
          <t>PMT mensile</t>
        </is>
      </c>
      <c r="C4" s="10" t="inlineStr">
        <is>
          <t>Versato cumulativo</t>
        </is>
      </c>
      <c r="D4" s="10" t="inlineStr">
        <is>
          <t>Capitale fine anno</t>
        </is>
      </c>
    </row>
    <row r="5">
      <c r="A5" s="16" t="n">
        <v>1</v>
      </c>
      <c r="B5" s="17">
        <f>-PMT((rendimento_lordo_pct-ter_pct-bollo_pct)/100/12,anni*12,-capitale_iniziale,capitale_target)</f>
        <v/>
      </c>
      <c r="C5" s="17">
        <f>capitale_iniziale-PMT((rendimento_lordo_pct-ter_pct-bollo_pct)/100/12,anni*12,-capitale_iniziale,capitale_target)*12*1</f>
        <v/>
      </c>
      <c r="D5" s="18">
        <f>FV((rendimento_lordo_pct-ter_pct-bollo_pct)/100/12,1*12,PMT((rendimento_lordo_pct-ter_pct-bollo_pct)/100/12,anni*12,-capitale_iniziale,capitale_target),-capitale_iniziale)</f>
        <v/>
      </c>
    </row>
    <row r="6">
      <c r="A6" s="19" t="n">
        <v>2</v>
      </c>
      <c r="B6" s="20">
        <f>-PMT((rendimento_lordo_pct-ter_pct-bollo_pct)/100/12,anni*12,-capitale_iniziale,capitale_target)</f>
        <v/>
      </c>
      <c r="C6" s="20">
        <f>capitale_iniziale-PMT((rendimento_lordo_pct-ter_pct-bollo_pct)/100/12,anni*12,-capitale_iniziale,capitale_target)*12*2</f>
        <v/>
      </c>
      <c r="D6" s="21">
        <f>FV((rendimento_lordo_pct-ter_pct-bollo_pct)/100/12,2*12,PMT((rendimento_lordo_pct-ter_pct-bollo_pct)/100/12,anni*12,-capitale_iniziale,capitale_target),-capitale_iniziale)</f>
        <v/>
      </c>
    </row>
    <row r="7">
      <c r="A7" s="16" t="n">
        <v>3</v>
      </c>
      <c r="B7" s="17">
        <f>-PMT((rendimento_lordo_pct-ter_pct-bollo_pct)/100/12,anni*12,-capitale_iniziale,capitale_target)</f>
        <v/>
      </c>
      <c r="C7" s="17">
        <f>capitale_iniziale-PMT((rendimento_lordo_pct-ter_pct-bollo_pct)/100/12,anni*12,-capitale_iniziale,capitale_target)*12*3</f>
        <v/>
      </c>
      <c r="D7" s="18">
        <f>FV((rendimento_lordo_pct-ter_pct-bollo_pct)/100/12,3*12,PMT((rendimento_lordo_pct-ter_pct-bollo_pct)/100/12,anni*12,-capitale_iniziale,capitale_target),-capitale_iniziale)</f>
        <v/>
      </c>
    </row>
    <row r="8">
      <c r="A8" s="19" t="n">
        <v>4</v>
      </c>
      <c r="B8" s="20">
        <f>-PMT((rendimento_lordo_pct-ter_pct-bollo_pct)/100/12,anni*12,-capitale_iniziale,capitale_target)</f>
        <v/>
      </c>
      <c r="C8" s="20">
        <f>capitale_iniziale-PMT((rendimento_lordo_pct-ter_pct-bollo_pct)/100/12,anni*12,-capitale_iniziale,capitale_target)*12*4</f>
        <v/>
      </c>
      <c r="D8" s="21">
        <f>FV((rendimento_lordo_pct-ter_pct-bollo_pct)/100/12,4*12,PMT((rendimento_lordo_pct-ter_pct-bollo_pct)/100/12,anni*12,-capitale_iniziale,capitale_target),-capitale_iniziale)</f>
        <v/>
      </c>
    </row>
    <row r="9">
      <c r="A9" s="16" t="n">
        <v>5</v>
      </c>
      <c r="B9" s="17">
        <f>-PMT((rendimento_lordo_pct-ter_pct-bollo_pct)/100/12,anni*12,-capitale_iniziale,capitale_target)</f>
        <v/>
      </c>
      <c r="C9" s="17">
        <f>capitale_iniziale-PMT((rendimento_lordo_pct-ter_pct-bollo_pct)/100/12,anni*12,-capitale_iniziale,capitale_target)*12*5</f>
        <v/>
      </c>
      <c r="D9" s="18">
        <f>FV((rendimento_lordo_pct-ter_pct-bollo_pct)/100/12,5*12,PMT((rendimento_lordo_pct-ter_pct-bollo_pct)/100/12,anni*12,-capitale_iniziale,capitale_target),-capitale_iniziale)</f>
        <v/>
      </c>
    </row>
    <row r="10">
      <c r="A10" s="19" t="n">
        <v>6</v>
      </c>
      <c r="B10" s="20">
        <f>-PMT((rendimento_lordo_pct-ter_pct-bollo_pct)/100/12,anni*12,-capitale_iniziale,capitale_target)</f>
        <v/>
      </c>
      <c r="C10" s="20">
        <f>capitale_iniziale-PMT((rendimento_lordo_pct-ter_pct-bollo_pct)/100/12,anni*12,-capitale_iniziale,capitale_target)*12*6</f>
        <v/>
      </c>
      <c r="D10" s="21">
        <f>FV((rendimento_lordo_pct-ter_pct-bollo_pct)/100/12,6*12,PMT((rendimento_lordo_pct-ter_pct-bollo_pct)/100/12,anni*12,-capitale_iniziale,capitale_target),-capitale_iniziale)</f>
        <v/>
      </c>
    </row>
    <row r="11">
      <c r="A11" s="16" t="n">
        <v>7</v>
      </c>
      <c r="B11" s="17">
        <f>-PMT((rendimento_lordo_pct-ter_pct-bollo_pct)/100/12,anni*12,-capitale_iniziale,capitale_target)</f>
        <v/>
      </c>
      <c r="C11" s="17">
        <f>capitale_iniziale-PMT((rendimento_lordo_pct-ter_pct-bollo_pct)/100/12,anni*12,-capitale_iniziale,capitale_target)*12*7</f>
        <v/>
      </c>
      <c r="D11" s="18">
        <f>FV((rendimento_lordo_pct-ter_pct-bollo_pct)/100/12,7*12,PMT((rendimento_lordo_pct-ter_pct-bollo_pct)/100/12,anni*12,-capitale_iniziale,capitale_target),-capitale_iniziale)</f>
        <v/>
      </c>
    </row>
    <row r="12">
      <c r="A12" s="19" t="n">
        <v>8</v>
      </c>
      <c r="B12" s="20">
        <f>-PMT((rendimento_lordo_pct-ter_pct-bollo_pct)/100/12,anni*12,-capitale_iniziale,capitale_target)</f>
        <v/>
      </c>
      <c r="C12" s="20">
        <f>capitale_iniziale-PMT((rendimento_lordo_pct-ter_pct-bollo_pct)/100/12,anni*12,-capitale_iniziale,capitale_target)*12*8</f>
        <v/>
      </c>
      <c r="D12" s="21">
        <f>FV((rendimento_lordo_pct-ter_pct-bollo_pct)/100/12,8*12,PMT((rendimento_lordo_pct-ter_pct-bollo_pct)/100/12,anni*12,-capitale_iniziale,capitale_target),-capitale_iniziale)</f>
        <v/>
      </c>
    </row>
    <row r="13">
      <c r="A13" s="16" t="n">
        <v>9</v>
      </c>
      <c r="B13" s="17">
        <f>-PMT((rendimento_lordo_pct-ter_pct-bollo_pct)/100/12,anni*12,-capitale_iniziale,capitale_target)</f>
        <v/>
      </c>
      <c r="C13" s="17">
        <f>capitale_iniziale-PMT((rendimento_lordo_pct-ter_pct-bollo_pct)/100/12,anni*12,-capitale_iniziale,capitale_target)*12*9</f>
        <v/>
      </c>
      <c r="D13" s="18">
        <f>FV((rendimento_lordo_pct-ter_pct-bollo_pct)/100/12,9*12,PMT((rendimento_lordo_pct-ter_pct-bollo_pct)/100/12,anni*12,-capitale_iniziale,capitale_target),-capitale_iniziale)</f>
        <v/>
      </c>
    </row>
    <row r="14">
      <c r="A14" s="19" t="n">
        <v>10</v>
      </c>
      <c r="B14" s="20">
        <f>-PMT((rendimento_lordo_pct-ter_pct-bollo_pct)/100/12,anni*12,-capitale_iniziale,capitale_target)</f>
        <v/>
      </c>
      <c r="C14" s="20">
        <f>capitale_iniziale-PMT((rendimento_lordo_pct-ter_pct-bollo_pct)/100/12,anni*12,-capitale_iniziale,capitale_target)*12*10</f>
        <v/>
      </c>
      <c r="D14" s="21">
        <f>FV((rendimento_lordo_pct-ter_pct-bollo_pct)/100/12,10*12,PMT((rendimento_lordo_pct-ter_pct-bollo_pct)/100/12,anni*12,-capitale_iniziale,capitale_target),-capitale_iniziale)</f>
        <v/>
      </c>
    </row>
    <row r="15">
      <c r="A15" s="16" t="n">
        <v>11</v>
      </c>
      <c r="B15" s="17">
        <f>-PMT((rendimento_lordo_pct-ter_pct-bollo_pct)/100/12,anni*12,-capitale_iniziale,capitale_target)</f>
        <v/>
      </c>
      <c r="C15" s="17">
        <f>capitale_iniziale-PMT((rendimento_lordo_pct-ter_pct-bollo_pct)/100/12,anni*12,-capitale_iniziale,capitale_target)*12*11</f>
        <v/>
      </c>
      <c r="D15" s="18">
        <f>FV((rendimento_lordo_pct-ter_pct-bollo_pct)/100/12,11*12,PMT((rendimento_lordo_pct-ter_pct-bollo_pct)/100/12,anni*12,-capitale_iniziale,capitale_target),-capitale_iniziale)</f>
        <v/>
      </c>
    </row>
    <row r="16">
      <c r="A16" s="19" t="n">
        <v>12</v>
      </c>
      <c r="B16" s="20">
        <f>-PMT((rendimento_lordo_pct-ter_pct-bollo_pct)/100/12,anni*12,-capitale_iniziale,capitale_target)</f>
        <v/>
      </c>
      <c r="C16" s="20">
        <f>capitale_iniziale-PMT((rendimento_lordo_pct-ter_pct-bollo_pct)/100/12,anni*12,-capitale_iniziale,capitale_target)*12*12</f>
        <v/>
      </c>
      <c r="D16" s="21">
        <f>FV((rendimento_lordo_pct-ter_pct-bollo_pct)/100/12,12*12,PMT((rendimento_lordo_pct-ter_pct-bollo_pct)/100/12,anni*12,-capitale_iniziale,capitale_target),-capitale_iniziale)</f>
        <v/>
      </c>
    </row>
    <row r="17">
      <c r="A17" s="16" t="n">
        <v>13</v>
      </c>
      <c r="B17" s="17">
        <f>-PMT((rendimento_lordo_pct-ter_pct-bollo_pct)/100/12,anni*12,-capitale_iniziale,capitale_target)</f>
        <v/>
      </c>
      <c r="C17" s="17">
        <f>capitale_iniziale-PMT((rendimento_lordo_pct-ter_pct-bollo_pct)/100/12,anni*12,-capitale_iniziale,capitale_target)*12*13</f>
        <v/>
      </c>
      <c r="D17" s="18">
        <f>FV((rendimento_lordo_pct-ter_pct-bollo_pct)/100/12,13*12,PMT((rendimento_lordo_pct-ter_pct-bollo_pct)/100/12,anni*12,-capitale_iniziale,capitale_target),-capitale_iniziale)</f>
        <v/>
      </c>
    </row>
    <row r="18">
      <c r="A18" s="19" t="n">
        <v>14</v>
      </c>
      <c r="B18" s="20">
        <f>-PMT((rendimento_lordo_pct-ter_pct-bollo_pct)/100/12,anni*12,-capitale_iniziale,capitale_target)</f>
        <v/>
      </c>
      <c r="C18" s="20">
        <f>capitale_iniziale-PMT((rendimento_lordo_pct-ter_pct-bollo_pct)/100/12,anni*12,-capitale_iniziale,capitale_target)*12*14</f>
        <v/>
      </c>
      <c r="D18" s="21">
        <f>FV((rendimento_lordo_pct-ter_pct-bollo_pct)/100/12,14*12,PMT((rendimento_lordo_pct-ter_pct-bollo_pct)/100/12,anni*12,-capitale_iniziale,capitale_target),-capitale_iniziale)</f>
        <v/>
      </c>
    </row>
    <row r="19">
      <c r="A19" s="16" t="n">
        <v>15</v>
      </c>
      <c r="B19" s="17">
        <f>-PMT((rendimento_lordo_pct-ter_pct-bollo_pct)/100/12,anni*12,-capitale_iniziale,capitale_target)</f>
        <v/>
      </c>
      <c r="C19" s="17">
        <f>capitale_iniziale-PMT((rendimento_lordo_pct-ter_pct-bollo_pct)/100/12,anni*12,-capitale_iniziale,capitale_target)*12*15</f>
        <v/>
      </c>
      <c r="D19" s="18">
        <f>FV((rendimento_lordo_pct-ter_pct-bollo_pct)/100/12,15*12,PMT((rendimento_lordo_pct-ter_pct-bollo_pct)/100/12,anni*12,-capitale_iniziale,capitale_target),-capitale_iniziale)</f>
        <v/>
      </c>
    </row>
    <row r="20">
      <c r="A20" s="19" t="n">
        <v>16</v>
      </c>
      <c r="B20" s="20">
        <f>-PMT((rendimento_lordo_pct-ter_pct-bollo_pct)/100/12,anni*12,-capitale_iniziale,capitale_target)</f>
        <v/>
      </c>
      <c r="C20" s="20">
        <f>capitale_iniziale-PMT((rendimento_lordo_pct-ter_pct-bollo_pct)/100/12,anni*12,-capitale_iniziale,capitale_target)*12*16</f>
        <v/>
      </c>
      <c r="D20" s="21">
        <f>FV((rendimento_lordo_pct-ter_pct-bollo_pct)/100/12,16*12,PMT((rendimento_lordo_pct-ter_pct-bollo_pct)/100/12,anni*12,-capitale_iniziale,capitale_target),-capitale_iniziale)</f>
        <v/>
      </c>
    </row>
    <row r="21">
      <c r="A21" s="16" t="n">
        <v>17</v>
      </c>
      <c r="B21" s="17">
        <f>-PMT((rendimento_lordo_pct-ter_pct-bollo_pct)/100/12,anni*12,-capitale_iniziale,capitale_target)</f>
        <v/>
      </c>
      <c r="C21" s="17">
        <f>capitale_iniziale-PMT((rendimento_lordo_pct-ter_pct-bollo_pct)/100/12,anni*12,-capitale_iniziale,capitale_target)*12*17</f>
        <v/>
      </c>
      <c r="D21" s="18">
        <f>FV((rendimento_lordo_pct-ter_pct-bollo_pct)/100/12,17*12,PMT((rendimento_lordo_pct-ter_pct-bollo_pct)/100/12,anni*12,-capitale_iniziale,capitale_target),-capitale_iniziale)</f>
        <v/>
      </c>
    </row>
    <row r="22">
      <c r="A22" s="19" t="n">
        <v>18</v>
      </c>
      <c r="B22" s="20">
        <f>-PMT((rendimento_lordo_pct-ter_pct-bollo_pct)/100/12,anni*12,-capitale_iniziale,capitale_target)</f>
        <v/>
      </c>
      <c r="C22" s="20">
        <f>capitale_iniziale-PMT((rendimento_lordo_pct-ter_pct-bollo_pct)/100/12,anni*12,-capitale_iniziale,capitale_target)*12*18</f>
        <v/>
      </c>
      <c r="D22" s="21">
        <f>FV((rendimento_lordo_pct-ter_pct-bollo_pct)/100/12,18*12,PMT((rendimento_lordo_pct-ter_pct-bollo_pct)/100/12,anni*12,-capitale_iniziale,capitale_target),-capitale_iniziale)</f>
        <v/>
      </c>
    </row>
    <row r="23">
      <c r="A23" s="16" t="n">
        <v>19</v>
      </c>
      <c r="B23" s="17">
        <f>-PMT((rendimento_lordo_pct-ter_pct-bollo_pct)/100/12,anni*12,-capitale_iniziale,capitale_target)</f>
        <v/>
      </c>
      <c r="C23" s="17">
        <f>capitale_iniziale-PMT((rendimento_lordo_pct-ter_pct-bollo_pct)/100/12,anni*12,-capitale_iniziale,capitale_target)*12*19</f>
        <v/>
      </c>
      <c r="D23" s="18">
        <f>FV((rendimento_lordo_pct-ter_pct-bollo_pct)/100/12,19*12,PMT((rendimento_lordo_pct-ter_pct-bollo_pct)/100/12,anni*12,-capitale_iniziale,capitale_target),-capitale_iniziale)</f>
        <v/>
      </c>
    </row>
    <row r="24">
      <c r="A24" s="19" t="n">
        <v>20</v>
      </c>
      <c r="B24" s="20">
        <f>-PMT((rendimento_lordo_pct-ter_pct-bollo_pct)/100/12,anni*12,-capitale_iniziale,capitale_target)</f>
        <v/>
      </c>
      <c r="C24" s="20">
        <f>capitale_iniziale-PMT((rendimento_lordo_pct-ter_pct-bollo_pct)/100/12,anni*12,-capitale_iniziale,capitale_target)*12*20</f>
        <v/>
      </c>
      <c r="D24" s="21">
        <f>FV((rendimento_lordo_pct-ter_pct-bollo_pct)/100/12,20*12,PMT((rendimento_lordo_pct-ter_pct-bollo_pct)/100/12,anni*12,-capitale_iniziale,capitale_target),-capitale_iniziale)</f>
        <v/>
      </c>
    </row>
    <row r="25">
      <c r="A25" s="16" t="n">
        <v>21</v>
      </c>
      <c r="B25" s="17">
        <f>-PMT((rendimento_lordo_pct-ter_pct-bollo_pct)/100/12,anni*12,-capitale_iniziale,capitale_target)</f>
        <v/>
      </c>
      <c r="C25" s="17">
        <f>capitale_iniziale-PMT((rendimento_lordo_pct-ter_pct-bollo_pct)/100/12,anni*12,-capitale_iniziale,capitale_target)*12*21</f>
        <v/>
      </c>
      <c r="D25" s="18">
        <f>FV((rendimento_lordo_pct-ter_pct-bollo_pct)/100/12,21*12,PMT((rendimento_lordo_pct-ter_pct-bollo_pct)/100/12,anni*12,-capitale_iniziale,capitale_target),-capitale_iniziale)</f>
        <v/>
      </c>
    </row>
    <row r="26">
      <c r="A26" s="19" t="n">
        <v>22</v>
      </c>
      <c r="B26" s="20">
        <f>-PMT((rendimento_lordo_pct-ter_pct-bollo_pct)/100/12,anni*12,-capitale_iniziale,capitale_target)</f>
        <v/>
      </c>
      <c r="C26" s="20">
        <f>capitale_iniziale-PMT((rendimento_lordo_pct-ter_pct-bollo_pct)/100/12,anni*12,-capitale_iniziale,capitale_target)*12*22</f>
        <v/>
      </c>
      <c r="D26" s="21">
        <f>FV((rendimento_lordo_pct-ter_pct-bollo_pct)/100/12,22*12,PMT((rendimento_lordo_pct-ter_pct-bollo_pct)/100/12,anni*12,-capitale_iniziale,capitale_target),-capitale_iniziale)</f>
        <v/>
      </c>
    </row>
    <row r="27">
      <c r="A27" s="16" t="n">
        <v>23</v>
      </c>
      <c r="B27" s="17">
        <f>-PMT((rendimento_lordo_pct-ter_pct-bollo_pct)/100/12,anni*12,-capitale_iniziale,capitale_target)</f>
        <v/>
      </c>
      <c r="C27" s="17">
        <f>capitale_iniziale-PMT((rendimento_lordo_pct-ter_pct-bollo_pct)/100/12,anni*12,-capitale_iniziale,capitale_target)*12*23</f>
        <v/>
      </c>
      <c r="D27" s="18">
        <f>FV((rendimento_lordo_pct-ter_pct-bollo_pct)/100/12,23*12,PMT((rendimento_lordo_pct-ter_pct-bollo_pct)/100/12,anni*12,-capitale_iniziale,capitale_target),-capitale_iniziale)</f>
        <v/>
      </c>
    </row>
    <row r="28">
      <c r="A28" s="19" t="n">
        <v>24</v>
      </c>
      <c r="B28" s="20">
        <f>-PMT((rendimento_lordo_pct-ter_pct-bollo_pct)/100/12,anni*12,-capitale_iniziale,capitale_target)</f>
        <v/>
      </c>
      <c r="C28" s="20">
        <f>capitale_iniziale-PMT((rendimento_lordo_pct-ter_pct-bollo_pct)/100/12,anni*12,-capitale_iniziale,capitale_target)*12*24</f>
        <v/>
      </c>
      <c r="D28" s="21">
        <f>FV((rendimento_lordo_pct-ter_pct-bollo_pct)/100/12,24*12,PMT((rendimento_lordo_pct-ter_pct-bollo_pct)/100/12,anni*12,-capitale_iniziale,capitale_target),-capitale_iniziale)</f>
        <v/>
      </c>
    </row>
    <row r="29">
      <c r="A29" s="16" t="n">
        <v>25</v>
      </c>
      <c r="B29" s="17">
        <f>-PMT((rendimento_lordo_pct-ter_pct-bollo_pct)/100/12,anni*12,-capitale_iniziale,capitale_target)</f>
        <v/>
      </c>
      <c r="C29" s="17">
        <f>capitale_iniziale-PMT((rendimento_lordo_pct-ter_pct-bollo_pct)/100/12,anni*12,-capitale_iniziale,capitale_target)*12*25</f>
        <v/>
      </c>
      <c r="D29" s="18">
        <f>FV((rendimento_lordo_pct-ter_pct-bollo_pct)/100/12,25*12,PMT((rendimento_lordo_pct-ter_pct-bollo_pct)/100/12,anni*12,-capitale_iniziale,capitale_target),-capitale_iniziale)</f>
        <v/>
      </c>
    </row>
    <row r="30">
      <c r="A30" s="19" t="n">
        <v>26</v>
      </c>
      <c r="B30" s="20">
        <f>-PMT((rendimento_lordo_pct-ter_pct-bollo_pct)/100/12,anni*12,-capitale_iniziale,capitale_target)</f>
        <v/>
      </c>
      <c r="C30" s="20">
        <f>capitale_iniziale-PMT((rendimento_lordo_pct-ter_pct-bollo_pct)/100/12,anni*12,-capitale_iniziale,capitale_target)*12*26</f>
        <v/>
      </c>
      <c r="D30" s="21">
        <f>FV((rendimento_lordo_pct-ter_pct-bollo_pct)/100/12,26*12,PMT((rendimento_lordo_pct-ter_pct-bollo_pct)/100/12,anni*12,-capitale_iniziale,capitale_target),-capitale_iniziale)</f>
        <v/>
      </c>
    </row>
    <row r="31">
      <c r="A31" s="16" t="n">
        <v>27</v>
      </c>
      <c r="B31" s="17">
        <f>-PMT((rendimento_lordo_pct-ter_pct-bollo_pct)/100/12,anni*12,-capitale_iniziale,capitale_target)</f>
        <v/>
      </c>
      <c r="C31" s="17">
        <f>capitale_iniziale-PMT((rendimento_lordo_pct-ter_pct-bollo_pct)/100/12,anni*12,-capitale_iniziale,capitale_target)*12*27</f>
        <v/>
      </c>
      <c r="D31" s="18">
        <f>FV((rendimento_lordo_pct-ter_pct-bollo_pct)/100/12,27*12,PMT((rendimento_lordo_pct-ter_pct-bollo_pct)/100/12,anni*12,-capitale_iniziale,capitale_target),-capitale_iniziale)</f>
        <v/>
      </c>
    </row>
    <row r="32">
      <c r="A32" s="19" t="n">
        <v>28</v>
      </c>
      <c r="B32" s="20">
        <f>-PMT((rendimento_lordo_pct-ter_pct-bollo_pct)/100/12,anni*12,-capitale_iniziale,capitale_target)</f>
        <v/>
      </c>
      <c r="C32" s="20">
        <f>capitale_iniziale-PMT((rendimento_lordo_pct-ter_pct-bollo_pct)/100/12,anni*12,-capitale_iniziale,capitale_target)*12*28</f>
        <v/>
      </c>
      <c r="D32" s="21">
        <f>FV((rendimento_lordo_pct-ter_pct-bollo_pct)/100/12,28*12,PMT((rendimento_lordo_pct-ter_pct-bollo_pct)/100/12,anni*12,-capitale_iniziale,capitale_target),-capitale_iniziale)</f>
        <v/>
      </c>
    </row>
    <row r="33">
      <c r="A33" s="16" t="n">
        <v>29</v>
      </c>
      <c r="B33" s="17">
        <f>-PMT((rendimento_lordo_pct-ter_pct-bollo_pct)/100/12,anni*12,-capitale_iniziale,capitale_target)</f>
        <v/>
      </c>
      <c r="C33" s="17">
        <f>capitale_iniziale-PMT((rendimento_lordo_pct-ter_pct-bollo_pct)/100/12,anni*12,-capitale_iniziale,capitale_target)*12*29</f>
        <v/>
      </c>
      <c r="D33" s="18">
        <f>FV((rendimento_lordo_pct-ter_pct-bollo_pct)/100/12,29*12,PMT((rendimento_lordo_pct-ter_pct-bollo_pct)/100/12,anni*12,-capitale_iniziale,capitale_target),-capitale_iniziale)</f>
        <v/>
      </c>
    </row>
    <row r="34">
      <c r="A34" s="19" t="n">
        <v>30</v>
      </c>
      <c r="B34" s="20">
        <f>-PMT((rendimento_lordo_pct-ter_pct-bollo_pct)/100/12,anni*12,-capitale_iniziale,capitale_target)</f>
        <v/>
      </c>
      <c r="C34" s="20">
        <f>capitale_iniziale-PMT((rendimento_lordo_pct-ter_pct-bollo_pct)/100/12,anni*12,-capitale_iniziale,capitale_target)*12*30</f>
        <v/>
      </c>
      <c r="D34" s="21">
        <f>FV((rendimento_lordo_pct-ter_pct-bollo_pct)/100/12,30*12,PMT((rendimento_lordo_pct-ter_pct-bollo_pct)/100/12,anni*12,-capitale_iniziale,capitale_target),-capitale_iniziale)</f>
        <v/>
      </c>
    </row>
    <row r="35">
      <c r="A35" s="16" t="n">
        <v>31</v>
      </c>
      <c r="B35" s="17">
        <f>-PMT((rendimento_lordo_pct-ter_pct-bollo_pct)/100/12,anni*12,-capitale_iniziale,capitale_target)</f>
        <v/>
      </c>
      <c r="C35" s="17">
        <f>capitale_iniziale-PMT((rendimento_lordo_pct-ter_pct-bollo_pct)/100/12,anni*12,-capitale_iniziale,capitale_target)*12*31</f>
        <v/>
      </c>
      <c r="D35" s="18">
        <f>FV((rendimento_lordo_pct-ter_pct-bollo_pct)/100/12,31*12,PMT((rendimento_lordo_pct-ter_pct-bollo_pct)/100/12,anni*12,-capitale_iniziale,capitale_target),-capitale_iniziale)</f>
        <v/>
      </c>
    </row>
    <row r="36">
      <c r="A36" s="19" t="n">
        <v>32</v>
      </c>
      <c r="B36" s="20">
        <f>-PMT((rendimento_lordo_pct-ter_pct-bollo_pct)/100/12,anni*12,-capitale_iniziale,capitale_target)</f>
        <v/>
      </c>
      <c r="C36" s="20">
        <f>capitale_iniziale-PMT((rendimento_lordo_pct-ter_pct-bollo_pct)/100/12,anni*12,-capitale_iniziale,capitale_target)*12*32</f>
        <v/>
      </c>
      <c r="D36" s="21">
        <f>FV((rendimento_lordo_pct-ter_pct-bollo_pct)/100/12,32*12,PMT((rendimento_lordo_pct-ter_pct-bollo_pct)/100/12,anni*12,-capitale_iniziale,capitale_target),-capitale_iniziale)</f>
        <v/>
      </c>
    </row>
    <row r="37">
      <c r="A37" s="16" t="n">
        <v>33</v>
      </c>
      <c r="B37" s="17">
        <f>-PMT((rendimento_lordo_pct-ter_pct-bollo_pct)/100/12,anni*12,-capitale_iniziale,capitale_target)</f>
        <v/>
      </c>
      <c r="C37" s="17">
        <f>capitale_iniziale-PMT((rendimento_lordo_pct-ter_pct-bollo_pct)/100/12,anni*12,-capitale_iniziale,capitale_target)*12*33</f>
        <v/>
      </c>
      <c r="D37" s="18">
        <f>FV((rendimento_lordo_pct-ter_pct-bollo_pct)/100/12,33*12,PMT((rendimento_lordo_pct-ter_pct-bollo_pct)/100/12,anni*12,-capitale_iniziale,capitale_target),-capitale_iniziale)</f>
        <v/>
      </c>
    </row>
    <row r="38">
      <c r="A38" s="19" t="n">
        <v>34</v>
      </c>
      <c r="B38" s="20">
        <f>-PMT((rendimento_lordo_pct-ter_pct-bollo_pct)/100/12,anni*12,-capitale_iniziale,capitale_target)</f>
        <v/>
      </c>
      <c r="C38" s="20">
        <f>capitale_iniziale-PMT((rendimento_lordo_pct-ter_pct-bollo_pct)/100/12,anni*12,-capitale_iniziale,capitale_target)*12*34</f>
        <v/>
      </c>
      <c r="D38" s="21">
        <f>FV((rendimento_lordo_pct-ter_pct-bollo_pct)/100/12,34*12,PMT((rendimento_lordo_pct-ter_pct-bollo_pct)/100/12,anni*12,-capitale_iniziale,capitale_target),-capitale_iniziale)</f>
        <v/>
      </c>
    </row>
    <row r="39">
      <c r="A39" s="16" t="n">
        <v>35</v>
      </c>
      <c r="B39" s="17">
        <f>-PMT((rendimento_lordo_pct-ter_pct-bollo_pct)/100/12,anni*12,-capitale_iniziale,capitale_target)</f>
        <v/>
      </c>
      <c r="C39" s="17">
        <f>capitale_iniziale-PMT((rendimento_lordo_pct-ter_pct-bollo_pct)/100/12,anni*12,-capitale_iniziale,capitale_target)*12*35</f>
        <v/>
      </c>
      <c r="D39" s="18">
        <f>FV((rendimento_lordo_pct-ter_pct-bollo_pct)/100/12,35*12,PMT((rendimento_lordo_pct-ter_pct-bollo_pct)/100/12,anni*12,-capitale_iniziale,capitale_target),-capitale_iniziale)</f>
        <v/>
      </c>
    </row>
    <row r="40">
      <c r="A40" s="19" t="n">
        <v>36</v>
      </c>
      <c r="B40" s="20">
        <f>-PMT((rendimento_lordo_pct-ter_pct-bollo_pct)/100/12,anni*12,-capitale_iniziale,capitale_target)</f>
        <v/>
      </c>
      <c r="C40" s="20">
        <f>capitale_iniziale-PMT((rendimento_lordo_pct-ter_pct-bollo_pct)/100/12,anni*12,-capitale_iniziale,capitale_target)*12*36</f>
        <v/>
      </c>
      <c r="D40" s="21">
        <f>FV((rendimento_lordo_pct-ter_pct-bollo_pct)/100/12,36*12,PMT((rendimento_lordo_pct-ter_pct-bollo_pct)/100/12,anni*12,-capitale_iniziale,capitale_target),-capitale_iniziale)</f>
        <v/>
      </c>
    </row>
    <row r="41">
      <c r="A41" s="16" t="n">
        <v>37</v>
      </c>
      <c r="B41" s="17">
        <f>-PMT((rendimento_lordo_pct-ter_pct-bollo_pct)/100/12,anni*12,-capitale_iniziale,capitale_target)</f>
        <v/>
      </c>
      <c r="C41" s="17">
        <f>capitale_iniziale-PMT((rendimento_lordo_pct-ter_pct-bollo_pct)/100/12,anni*12,-capitale_iniziale,capitale_target)*12*37</f>
        <v/>
      </c>
      <c r="D41" s="18">
        <f>FV((rendimento_lordo_pct-ter_pct-bollo_pct)/100/12,37*12,PMT((rendimento_lordo_pct-ter_pct-bollo_pct)/100/12,anni*12,-capitale_iniziale,capitale_target),-capitale_iniziale)</f>
        <v/>
      </c>
    </row>
    <row r="42">
      <c r="A42" s="19" t="n">
        <v>38</v>
      </c>
      <c r="B42" s="20">
        <f>-PMT((rendimento_lordo_pct-ter_pct-bollo_pct)/100/12,anni*12,-capitale_iniziale,capitale_target)</f>
        <v/>
      </c>
      <c r="C42" s="20">
        <f>capitale_iniziale-PMT((rendimento_lordo_pct-ter_pct-bollo_pct)/100/12,anni*12,-capitale_iniziale,capitale_target)*12*38</f>
        <v/>
      </c>
      <c r="D42" s="21">
        <f>FV((rendimento_lordo_pct-ter_pct-bollo_pct)/100/12,38*12,PMT((rendimento_lordo_pct-ter_pct-bollo_pct)/100/12,anni*12,-capitale_iniziale,capitale_target),-capitale_iniziale)</f>
        <v/>
      </c>
    </row>
    <row r="43">
      <c r="A43" s="16" t="n">
        <v>39</v>
      </c>
      <c r="B43" s="17">
        <f>-PMT((rendimento_lordo_pct-ter_pct-bollo_pct)/100/12,anni*12,-capitale_iniziale,capitale_target)</f>
        <v/>
      </c>
      <c r="C43" s="17">
        <f>capitale_iniziale-PMT((rendimento_lordo_pct-ter_pct-bollo_pct)/100/12,anni*12,-capitale_iniziale,capitale_target)*12*39</f>
        <v/>
      </c>
      <c r="D43" s="18">
        <f>FV((rendimento_lordo_pct-ter_pct-bollo_pct)/100/12,39*12,PMT((rendimento_lordo_pct-ter_pct-bollo_pct)/100/12,anni*12,-capitale_iniziale,capitale_target),-capitale_iniziale)</f>
        <v/>
      </c>
    </row>
    <row r="44">
      <c r="A44" s="19" t="n">
        <v>40</v>
      </c>
      <c r="B44" s="20">
        <f>-PMT((rendimento_lordo_pct-ter_pct-bollo_pct)/100/12,anni*12,-capitale_iniziale,capitale_target)</f>
        <v/>
      </c>
      <c r="C44" s="20">
        <f>capitale_iniziale-PMT((rendimento_lordo_pct-ter_pct-bollo_pct)/100/12,anni*12,-capitale_iniziale,capitale_target)*12*40</f>
        <v/>
      </c>
      <c r="D44" s="21">
        <f>FV((rendimento_lordo_pct-ter_pct-bollo_pct)/100/12,40*12,PMT((rendimento_lordo_pct-ter_pct-bollo_pct)/100/12,anni*12,-capitale_iniziale,capitale_target),-capitale_iniziale)</f>
        <v/>
      </c>
    </row>
    <row r="45">
      <c r="A45" s="16" t="n">
        <v>41</v>
      </c>
      <c r="B45" s="17">
        <f>-PMT((rendimento_lordo_pct-ter_pct-bollo_pct)/100/12,anni*12,-capitale_iniziale,capitale_target)</f>
        <v/>
      </c>
      <c r="C45" s="17">
        <f>capitale_iniziale-PMT((rendimento_lordo_pct-ter_pct-bollo_pct)/100/12,anni*12,-capitale_iniziale,capitale_target)*12*41</f>
        <v/>
      </c>
      <c r="D45" s="18">
        <f>FV((rendimento_lordo_pct-ter_pct-bollo_pct)/100/12,41*12,PMT((rendimento_lordo_pct-ter_pct-bollo_pct)/100/12,anni*12,-capitale_iniziale,capitale_target),-capitale_iniziale)</f>
        <v/>
      </c>
    </row>
    <row r="46">
      <c r="A46" s="19" t="n">
        <v>42</v>
      </c>
      <c r="B46" s="20">
        <f>-PMT((rendimento_lordo_pct-ter_pct-bollo_pct)/100/12,anni*12,-capitale_iniziale,capitale_target)</f>
        <v/>
      </c>
      <c r="C46" s="20">
        <f>capitale_iniziale-PMT((rendimento_lordo_pct-ter_pct-bollo_pct)/100/12,anni*12,-capitale_iniziale,capitale_target)*12*42</f>
        <v/>
      </c>
      <c r="D46" s="21">
        <f>FV((rendimento_lordo_pct-ter_pct-bollo_pct)/100/12,42*12,PMT((rendimento_lordo_pct-ter_pct-bollo_pct)/100/12,anni*12,-capitale_iniziale,capitale_target),-capitale_iniziale)</f>
        <v/>
      </c>
    </row>
    <row r="47">
      <c r="A47" s="16" t="n">
        <v>43</v>
      </c>
      <c r="B47" s="17">
        <f>-PMT((rendimento_lordo_pct-ter_pct-bollo_pct)/100/12,anni*12,-capitale_iniziale,capitale_target)</f>
        <v/>
      </c>
      <c r="C47" s="17">
        <f>capitale_iniziale-PMT((rendimento_lordo_pct-ter_pct-bollo_pct)/100/12,anni*12,-capitale_iniziale,capitale_target)*12*43</f>
        <v/>
      </c>
      <c r="D47" s="18">
        <f>FV((rendimento_lordo_pct-ter_pct-bollo_pct)/100/12,43*12,PMT((rendimento_lordo_pct-ter_pct-bollo_pct)/100/12,anni*12,-capitale_iniziale,capitale_target),-capitale_iniziale)</f>
        <v/>
      </c>
    </row>
    <row r="48">
      <c r="A48" s="19" t="n">
        <v>44</v>
      </c>
      <c r="B48" s="20">
        <f>-PMT((rendimento_lordo_pct-ter_pct-bollo_pct)/100/12,anni*12,-capitale_iniziale,capitale_target)</f>
        <v/>
      </c>
      <c r="C48" s="20">
        <f>capitale_iniziale-PMT((rendimento_lordo_pct-ter_pct-bollo_pct)/100/12,anni*12,-capitale_iniziale,capitale_target)*12*44</f>
        <v/>
      </c>
      <c r="D48" s="21">
        <f>FV((rendimento_lordo_pct-ter_pct-bollo_pct)/100/12,44*12,PMT((rendimento_lordo_pct-ter_pct-bollo_pct)/100/12,anni*12,-capitale_iniziale,capitale_target),-capitale_iniziale)</f>
        <v/>
      </c>
    </row>
    <row r="49">
      <c r="A49" s="16" t="n">
        <v>45</v>
      </c>
      <c r="B49" s="17">
        <f>-PMT((rendimento_lordo_pct-ter_pct-bollo_pct)/100/12,anni*12,-capitale_iniziale,capitale_target)</f>
        <v/>
      </c>
      <c r="C49" s="17">
        <f>capitale_iniziale-PMT((rendimento_lordo_pct-ter_pct-bollo_pct)/100/12,anni*12,-capitale_iniziale,capitale_target)*12*45</f>
        <v/>
      </c>
      <c r="D49" s="18">
        <f>FV((rendimento_lordo_pct-ter_pct-bollo_pct)/100/12,45*12,PMT((rendimento_lordo_pct-ter_pct-bollo_pct)/100/12,anni*12,-capitale_iniziale,capitale_target),-capitale_iniziale)</f>
        <v/>
      </c>
    </row>
    <row r="50">
      <c r="A50" s="19" t="n">
        <v>46</v>
      </c>
      <c r="B50" s="20">
        <f>-PMT((rendimento_lordo_pct-ter_pct-bollo_pct)/100/12,anni*12,-capitale_iniziale,capitale_target)</f>
        <v/>
      </c>
      <c r="C50" s="20">
        <f>capitale_iniziale-PMT((rendimento_lordo_pct-ter_pct-bollo_pct)/100/12,anni*12,-capitale_iniziale,capitale_target)*12*46</f>
        <v/>
      </c>
      <c r="D50" s="21">
        <f>FV((rendimento_lordo_pct-ter_pct-bollo_pct)/100/12,46*12,PMT((rendimento_lordo_pct-ter_pct-bollo_pct)/100/12,anni*12,-capitale_iniziale,capitale_target),-capitale_iniziale)</f>
        <v/>
      </c>
    </row>
    <row r="51">
      <c r="A51" s="16" t="n">
        <v>47</v>
      </c>
      <c r="B51" s="17">
        <f>-PMT((rendimento_lordo_pct-ter_pct-bollo_pct)/100/12,anni*12,-capitale_iniziale,capitale_target)</f>
        <v/>
      </c>
      <c r="C51" s="17">
        <f>capitale_iniziale-PMT((rendimento_lordo_pct-ter_pct-bollo_pct)/100/12,anni*12,-capitale_iniziale,capitale_target)*12*47</f>
        <v/>
      </c>
      <c r="D51" s="18">
        <f>FV((rendimento_lordo_pct-ter_pct-bollo_pct)/100/12,47*12,PMT((rendimento_lordo_pct-ter_pct-bollo_pct)/100/12,anni*12,-capitale_iniziale,capitale_target),-capitale_iniziale)</f>
        <v/>
      </c>
    </row>
    <row r="52">
      <c r="A52" s="19" t="n">
        <v>48</v>
      </c>
      <c r="B52" s="20">
        <f>-PMT((rendimento_lordo_pct-ter_pct-bollo_pct)/100/12,anni*12,-capitale_iniziale,capitale_target)</f>
        <v/>
      </c>
      <c r="C52" s="20">
        <f>capitale_iniziale-PMT((rendimento_lordo_pct-ter_pct-bollo_pct)/100/12,anni*12,-capitale_iniziale,capitale_target)*12*48</f>
        <v/>
      </c>
      <c r="D52" s="21">
        <f>FV((rendimento_lordo_pct-ter_pct-bollo_pct)/100/12,48*12,PMT((rendimento_lordo_pct-ter_pct-bollo_pct)/100/12,anni*12,-capitale_iniziale,capitale_target),-capitale_iniziale)</f>
        <v/>
      </c>
    </row>
    <row r="53">
      <c r="A53" s="16" t="n">
        <v>49</v>
      </c>
      <c r="B53" s="17">
        <f>-PMT((rendimento_lordo_pct-ter_pct-bollo_pct)/100/12,anni*12,-capitale_iniziale,capitale_target)</f>
        <v/>
      </c>
      <c r="C53" s="17">
        <f>capitale_iniziale-PMT((rendimento_lordo_pct-ter_pct-bollo_pct)/100/12,anni*12,-capitale_iniziale,capitale_target)*12*49</f>
        <v/>
      </c>
      <c r="D53" s="18">
        <f>FV((rendimento_lordo_pct-ter_pct-bollo_pct)/100/12,49*12,PMT((rendimento_lordo_pct-ter_pct-bollo_pct)/100/12,anni*12,-capitale_iniziale,capitale_target),-capitale_iniziale)</f>
        <v/>
      </c>
    </row>
    <row r="54">
      <c r="A54" s="19" t="n">
        <v>50</v>
      </c>
      <c r="B54" s="20">
        <f>-PMT((rendimento_lordo_pct-ter_pct-bollo_pct)/100/12,anni*12,-capitale_iniziale,capitale_target)</f>
        <v/>
      </c>
      <c r="C54" s="20">
        <f>capitale_iniziale-PMT((rendimento_lordo_pct-ter_pct-bollo_pct)/100/12,anni*12,-capitale_iniziale,capitale_target)*12*50</f>
        <v/>
      </c>
      <c r="D54" s="21">
        <f>FV((rendimento_lordo_pct-ter_pct-bollo_pct)/100/12,50*12,PMT((rendimento_lordo_pct-ter_pct-bollo_pct)/100/12,anni*12,-capitale_iniziale,capitale_target),-capitale_iniziale)</f>
        <v/>
      </c>
    </row>
  </sheetData>
  <mergeCells count="2">
    <mergeCell ref="A1:D1"/>
    <mergeCell ref="A2:D2"/>
  </mergeCells>
  <conditionalFormatting sqref="D5:D54">
    <cfRule type="dataBar" priority="1">
      <dataBar showValue="1">
        <cfvo type="min"/>
        <cfvo type="max"/>
        <color rgb="00E8A33D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📊  Risultato — quanto serve al mese</t>
        </is>
      </c>
    </row>
    <row r="2" ht="16" customHeight="1"/>
    <row r="3">
      <c r="A3" s="22" t="inlineStr">
        <is>
          <t>PMT mensile necessario per raggiungere il tuo obiettivo</t>
        </is>
      </c>
    </row>
    <row r="4" ht="28" customHeight="1">
      <c r="A4" s="23">
        <f>-PMT((rendimento_lordo_pct-ter_pct-bollo_pct)/100/12,anni*12,-capitale_iniziale,capitale_target)</f>
        <v/>
      </c>
    </row>
    <row r="5" ht="28" customHeight="1"/>
    <row r="6" ht="28" customHeight="1"/>
    <row r="7" ht="12" customHeight="1"/>
    <row r="8">
      <c r="A8" s="24" t="inlineStr">
        <is>
          <t>Capitale obiettivo + ROI dell'investimento</t>
        </is>
      </c>
    </row>
    <row r="9" ht="32" customHeight="1">
      <c r="A9" s="25">
        <f>capitale_target</f>
        <v/>
      </c>
    </row>
    <row r="10" ht="18" customHeight="1"/>
    <row r="11" ht="30" customHeight="1">
      <c r="A11" s="4" t="inlineStr">
        <is>
          <t>🧾  Riepilogo</t>
        </is>
      </c>
    </row>
    <row r="12" ht="28" customHeight="1">
      <c r="A12" s="26" t="inlineStr">
        <is>
          <t>Capitale iniziale</t>
        </is>
      </c>
      <c r="B12" s="27" t="n"/>
      <c r="C12" s="27" t="n"/>
      <c r="D12" s="27" t="n"/>
      <c r="E12" s="28">
        <f>capitale_iniziale</f>
        <v/>
      </c>
      <c r="F12" s="27" t="n"/>
    </row>
    <row r="13" ht="28" customHeight="1">
      <c r="A13" s="26" t="inlineStr">
        <is>
          <t>Capitale obiettivo</t>
        </is>
      </c>
      <c r="B13" s="27" t="n"/>
      <c r="C13" s="27" t="n"/>
      <c r="D13" s="27" t="n"/>
      <c r="E13" s="28">
        <f>capitale_target</f>
        <v/>
      </c>
      <c r="F13" s="27" t="n"/>
    </row>
    <row r="14" ht="28" customHeight="1">
      <c r="A14" s="26" t="inlineStr">
        <is>
          <t>Anni a disposizione</t>
        </is>
      </c>
      <c r="B14" s="27" t="n"/>
      <c r="C14" s="27" t="n"/>
      <c r="D14" s="27" t="n"/>
      <c r="E14" s="29">
        <f>anni</f>
        <v/>
      </c>
      <c r="F14" s="27" t="n"/>
    </row>
    <row r="15" ht="28" customHeight="1">
      <c r="A15" s="26" t="inlineStr">
        <is>
          <t>PMT mensile necessario</t>
        </is>
      </c>
      <c r="B15" s="27" t="n"/>
      <c r="C15" s="27" t="n"/>
      <c r="D15" s="27" t="n"/>
      <c r="E15" s="28">
        <f>-PMT((rendimento_lordo_pct-ter_pct-bollo_pct)/100/12,anni*12,-capitale_iniziale,capitale_target)</f>
        <v/>
      </c>
      <c r="F15" s="27" t="n"/>
    </row>
    <row r="16" ht="28" customHeight="1">
      <c r="A16" s="26" t="inlineStr">
        <is>
          <t>Versato totale (PMT × mesi)</t>
        </is>
      </c>
      <c r="B16" s="27" t="n"/>
      <c r="C16" s="27" t="n"/>
      <c r="D16" s="27" t="n"/>
      <c r="E16" s="28">
        <f>-PMT((rendimento_lordo_pct-ter_pct-bollo_pct)/100/12,anni*12,-capitale_iniziale,capitale_target)*12*anni</f>
        <v/>
      </c>
      <c r="F16" s="27" t="n"/>
    </row>
    <row r="17" ht="28" customHeight="1">
      <c r="A17" s="26" t="inlineStr">
        <is>
          <t>Crescita totale (rendimento − costi)</t>
        </is>
      </c>
      <c r="B17" s="27" t="n"/>
      <c r="C17" s="27" t="n"/>
      <c r="D17" s="27" t="n"/>
      <c r="E17" s="28">
        <f>capitale_target-capitale_iniziale-(-PMT((rendimento_lordo_pct-ter_pct-bollo_pct)/100/12,anni*12,-capitale_iniziale,capitale_target)*12*anni)</f>
        <v/>
      </c>
      <c r="F17" s="27" t="n"/>
    </row>
    <row r="18" ht="16" customHeight="1"/>
    <row r="19" ht="28" customHeight="1">
      <c r="A19" s="4" t="inlineStr">
        <is>
          <t>📈  Crescita capitale verso obiettivo</t>
        </is>
      </c>
    </row>
    <row r="43" ht="28" customHeight="1">
      <c r="A43" s="9" t="inlineStr">
        <is>
          <t>🌐  didiertommasi.com    📩  Newsletter settimanale    📊  Materiale educativo  ·  Non consulenza personalizzata</t>
        </is>
      </c>
    </row>
  </sheetData>
  <mergeCells count="20">
    <mergeCell ref="E12:F12"/>
    <mergeCell ref="A17:D17"/>
    <mergeCell ref="E14:F14"/>
    <mergeCell ref="A3:F3"/>
    <mergeCell ref="E17:F17"/>
    <mergeCell ref="A13:D13"/>
    <mergeCell ref="A8:F8"/>
    <mergeCell ref="A15:D15"/>
    <mergeCell ref="E13:F13"/>
    <mergeCell ref="A43:F43"/>
    <mergeCell ref="E15:F15"/>
    <mergeCell ref="A19:F19"/>
    <mergeCell ref="A4:F6"/>
    <mergeCell ref="A9:F9"/>
    <mergeCell ref="A16:D16"/>
    <mergeCell ref="A11:F11"/>
    <mergeCell ref="E16:F16"/>
    <mergeCell ref="A12:D12"/>
    <mergeCell ref="A1:F1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2026-04-28T20:43:49Z</dcterms:created>
  <dcterms:modified xsi:type="dcterms:W3CDTF">2026-04-28T20:43:49Z</dcterms:modified>
</cp:coreProperties>
</file>