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mensile">Input!$B$5</definedName>
    <definedName name="anni">Input!$B$6</definedName>
    <definedName name="isc_pip_pct">Input!$B$7</definedName>
    <definedName name="isc_neg_pct">Input!$B$8</definedName>
    <definedName name="rendimento_pct">Input!$B$9</definedName>
    <definedName name="fp_yearly_tax">Input!$B$12</definedName>
    <definedName name="fp_base_exit">Input!$B$13</definedName>
    <definedName name="fp_min_exit">Input!$B$14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#,##0 &quot;€&quot;"/>
    <numFmt numFmtId="165" formatCode="0.00&quot;%&quot;"/>
    <numFmt numFmtId="166" formatCode="&quot;+&quot;#,##0 &quot;€&quot;"/>
    <numFmt numFmtId="167" formatCode="0.0%"/>
    <numFmt numFmtId="168" formatCode="0&quot; anni&quot;"/>
  </numFmts>
  <fonts count="18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3"/>
    </font>
    <font>
      <name val="Calibri"/>
      <i val="1"/>
      <color rgb="006B7280"/>
      <sz val="9"/>
    </font>
    <font>
      <name val="Consolas"/>
      <color rgb="001A2950"/>
      <sz val="9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1"/>
    </font>
    <font>
      <name val="Calibri"/>
      <b val="1"/>
      <color rgb="0014213D"/>
      <sz val="14"/>
    </font>
    <font>
      <name val="Calibri"/>
      <b val="1"/>
      <color rgb="0014213D"/>
      <sz val="10"/>
    </font>
    <font>
      <name val="Calibri"/>
      <color rgb="004A5568"/>
      <sz val="10"/>
    </font>
    <font>
      <name val="Calibri"/>
      <b val="1"/>
      <color rgb="003DDC97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  <font>
      <name val="Calibri"/>
      <b val="1"/>
      <color rgb="0014213D"/>
      <sz val="12"/>
    </font>
  </fonts>
  <fills count="10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AFAF7"/>
        <bgColor rgb="00FAFAF7"/>
      </patternFill>
    </fill>
    <fill>
      <patternFill patternType="solid">
        <fgColor rgb="00FFF8E1"/>
        <bgColor rgb="00FFF8E1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  <fill>
      <patternFill patternType="solid">
        <fgColor rgb="00D4F5E5"/>
        <bgColor rgb="00D4F5E5"/>
      </patternFill>
    </fill>
  </fills>
  <borders count="5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left" vertical="top" wrapText="1" indent="1"/>
    </xf>
    <xf numFmtId="0" fontId="3" fillId="0" borderId="0" applyAlignment="1" pivotButton="0" quotePrefix="0" xfId="0">
      <alignment horizontal="left" vertical="center" wrapText="1" indent="1"/>
    </xf>
    <xf numFmtId="0" fontId="5" fillId="5" borderId="1" applyAlignment="1" pivotButton="0" quotePrefix="0" xfId="0">
      <alignment horizontal="left" vertical="top" wrapText="1" indent="1"/>
    </xf>
    <xf numFmtId="0" fontId="4" fillId="0" borderId="0" applyAlignment="1" pivotButton="0" quotePrefix="0" xfId="0">
      <alignment horizontal="left" vertical="top" wrapText="1" indent="1"/>
    </xf>
    <xf numFmtId="0" fontId="4" fillId="6" borderId="1" applyAlignment="1" pivotButton="0" quotePrefix="0" xfId="0">
      <alignment horizontal="left" vertical="top" wrapText="1" indent="1"/>
    </xf>
    <xf numFmtId="0" fontId="6" fillId="3" borderId="0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 indent="1"/>
    </xf>
    <xf numFmtId="164" fontId="9" fillId="7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top" wrapText="1" indent="1"/>
    </xf>
    <xf numFmtId="1" fontId="9" fillId="7" borderId="1" applyAlignment="1" pivotButton="0" quotePrefix="0" xfId="0">
      <alignment horizontal="center" vertical="center" wrapText="1"/>
    </xf>
    <xf numFmtId="165" fontId="9" fillId="7" borderId="1" applyAlignment="1" pivotButton="0" quotePrefix="0" xfId="0">
      <alignment horizontal="center" vertical="center" wrapText="1"/>
    </xf>
    <xf numFmtId="9" fontId="8" fillId="8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164" fontId="11" fillId="0" borderId="2" applyAlignment="1" pivotButton="0" quotePrefix="0" xfId="0">
      <alignment horizontal="right" vertical="center" indent="1"/>
    </xf>
    <xf numFmtId="164" fontId="10" fillId="0" borderId="2" applyAlignment="1" pivotButton="0" quotePrefix="0" xfId="0">
      <alignment horizontal="right" vertical="center" indent="1"/>
    </xf>
    <xf numFmtId="164" fontId="12" fillId="0" borderId="2" applyAlignment="1" pivotButton="0" quotePrefix="0" xfId="0">
      <alignment horizontal="right" vertical="center" indent="1"/>
    </xf>
    <xf numFmtId="0" fontId="10" fillId="8" borderId="2" applyAlignment="1" pivotButton="0" quotePrefix="0" xfId="0">
      <alignment horizontal="center" vertical="center" wrapText="1"/>
    </xf>
    <xf numFmtId="164" fontId="11" fillId="8" borderId="2" applyAlignment="1" pivotButton="0" quotePrefix="0" xfId="0">
      <alignment horizontal="right" vertical="center" indent="1"/>
    </xf>
    <xf numFmtId="164" fontId="10" fillId="8" borderId="2" applyAlignment="1" pivotButton="0" quotePrefix="0" xfId="0">
      <alignment horizontal="right" vertical="center" indent="1"/>
    </xf>
    <xf numFmtId="164" fontId="12" fillId="8" borderId="2" applyAlignment="1" pivotButton="0" quotePrefix="0" xfId="0">
      <alignment horizontal="right" vertical="center" indent="1"/>
    </xf>
    <xf numFmtId="0" fontId="13" fillId="0" borderId="0" applyAlignment="1" pivotButton="0" quotePrefix="0" xfId="0">
      <alignment horizontal="center" vertical="center" wrapText="1"/>
    </xf>
    <xf numFmtId="166" fontId="14" fillId="4" borderId="0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center" vertical="center" wrapText="1"/>
    </xf>
    <xf numFmtId="167" fontId="16" fillId="9" borderId="0" applyAlignment="1" pivotButton="0" quotePrefix="0" xfId="0">
      <alignment horizontal="center" vertical="center" wrapText="1"/>
    </xf>
    <xf numFmtId="0" fontId="8" fillId="0" borderId="3" applyAlignment="1" pivotButton="0" quotePrefix="0" xfId="0">
      <alignment horizontal="left" vertical="center" wrapText="1" indent="1"/>
    </xf>
    <xf numFmtId="0" fontId="0" fillId="0" borderId="4" pivotButton="0" quotePrefix="0" xfId="0"/>
    <xf numFmtId="168" fontId="17" fillId="0" borderId="3" applyAlignment="1" pivotButton="0" quotePrefix="0" xfId="0">
      <alignment horizontal="right" vertical="center" indent="1"/>
    </xf>
    <xf numFmtId="164" fontId="17" fillId="0" borderId="3" applyAlignment="1" pivotButton="0" quotePrefix="0" xfId="0">
      <alignment horizontal="right" vertical="center" indent="1"/>
    </xf>
    <xf numFmtId="10" fontId="17" fillId="0" borderId="3" applyAlignment="1" pivotButton="0" quotePrefix="0" xfId="0">
      <alignment horizontal="right" vertical="center" indent="1"/>
    </xf>
    <xf numFmtId="167" fontId="17" fillId="0" borderId="3" applyAlignment="1" pivotButton="0" quotePrefix="0" xfId="0">
      <alignment horizontal="right" vertical="center" indent="1"/>
    </xf>
    <xf numFmtId="166" fontId="17" fillId="0" borderId="3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'Calcolo'!C4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'Calcolo'!$A$5:$A$44</f>
            </numRef>
          </cat>
          <val>
            <numRef>
              <f>'Calcolo'!$C$5:$C$44</f>
            </numRef>
          </val>
        </ser>
        <ser>
          <idx val="1"/>
          <order val="1"/>
          <tx>
            <strRef>
              <f>'Calcolo'!D4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'Calcolo'!$A$5:$A$44</f>
            </numRef>
          </cat>
          <val>
            <numRef>
              <f>'Calcolo'!$D$5:$D$44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Capitale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25</row>
      <rowOff>0</rowOff>
    </from>
    <ext cx="792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PIP vs Fondo Pensione Negoziale</t>
        </is>
      </c>
    </row>
    <row r="2" ht="22" customHeight="1">
      <c r="A2" s="2" t="inlineStr">
        <is>
          <t>Didier Tommasi · Analista Finanziario Indipendente · didiertommasi.com</t>
        </is>
      </c>
    </row>
    <row r="3" ht="18" customHeight="1"/>
    <row r="4" ht="32" customHeight="1">
      <c r="A4" s="3" t="inlineStr">
        <is>
          <t>📌 In 30 secondi: il PIP medio costa 4,4× il fondo negoziale. Su 25 anni = +€19.000 netti.</t>
        </is>
      </c>
    </row>
    <row r="5" ht="8" customHeight="1"/>
    <row r="6">
      <c r="A6" s="4" t="inlineStr">
        <is>
          <t>ISC PIP medio: 2,15%. ISC FP negoziale medio: 0,49% (fonte COVIP 2024). Versando 200€/m per 25 anni a 5,5% lordo, scegli il negoziale e ti trovi +€19.170 netti in tasca a fine percorso (+24,7%).
💡 Rendimento in input = NOMINALE LORDO. Tassazione finale 9-15% applicata sul versato dedotto. Trasferimento PIP→Negoziale gratuito per legge dopo 2 anni.</t>
        </is>
      </c>
    </row>
    <row r="7"/>
    <row r="8"/>
    <row r="9" ht="12" customHeight="1"/>
    <row r="10" ht="30" customHeight="1">
      <c r="A10" s="5" t="inlineStr">
        <is>
          <t>➊ La formula</t>
        </is>
      </c>
    </row>
    <row r="11">
      <c r="A11" s="6" t="inlineStr">
        <is>
          <t>Per ciascuno dei due scenari (PIP e Negoziale):
  rate_dopo_ISC = (rendimento_lordo − ISC) / 100
  rate_netto = rate_dopo_ISC × (1 − 20%)   ← tassazione annuale rendimenti FP
  capitale = FV(rate_netto/12, anni*12, -versamento_mensile, 0)
Tassazione finale (sui SOLI versamenti dedotti, non rendimenti già tassati al 20%):
  aliquota_uscita = MAX(9%, 15% − 0,3%/anno oltre il 15° anno)
  netto_finale = versato_totale × (1 − aliquota_uscita) + plusvalenza
Trasferimento PIP → Negoziale GRATUITO per legge dopo 2 anni di adesione
(art. 14 D.Lgs. 252/2005). Eventuali penalità contrattuali sono NULLE.</t>
        </is>
      </c>
    </row>
    <row r="12"/>
    <row r="13"/>
    <row r="14"/>
    <row r="15"/>
    <row r="16"/>
    <row r="17"/>
    <row r="18"/>
    <row r="19" ht="12" customHeight="1"/>
    <row r="20" ht="30" customHeight="1">
      <c r="A20" s="5" t="inlineStr">
        <is>
          <t>➋ I costi ISC che cambiano tutto (fonte COVIP)</t>
        </is>
      </c>
    </row>
    <row r="21">
      <c r="A21" s="7" t="inlineStr">
        <is>
          <t>ISC = Indicatore Sintetico di Costo. È OBBLIGATORIO indicarlo nella Nota Informativa
del prodotto previdenziale. Lo trovi nella sezione 'ISC su 35 anni'.
Medi italiani 2024 (Relazione COVIP):
  · FP NEGOZIALI:  0,49% (chiusi, su contratto collettivo)
  · FP APERTI:     1,36% (banca/assicurazione, retail)
  · PIP:           2,15% (contratti assicurativi previdenziali)
Su 30-35 anni di accumulo, 1,7-2 punti % di costi in più erodono
il 30-50% del capitale finale. È matematica, non opinione.</t>
        </is>
      </c>
    </row>
    <row r="22"/>
    <row r="23"/>
    <row r="24"/>
    <row r="25"/>
    <row r="26"/>
    <row r="27"/>
    <row r="28" ht="12" customHeight="1"/>
    <row r="29" ht="30" customHeight="1">
      <c r="A29" s="5" t="inlineStr">
        <is>
          <t>➌ Cornice SPIVA + i 3 step operativi</t>
        </is>
      </c>
    </row>
    <row r="30">
      <c r="A30" s="8" t="inlineStr">
        <is>
          <t>CORNICE SPIVA — secondo SPIVA Europe Year-End 2024 (S&amp;P Dow Jones Indices), oltre l'85% dei fondi attivi azionari globali sottoperforma il benchmark passivo su 10 anni. Il PIP non è 'gestione esperta', è solo 'gestione costosa'. I numeri parlano.
1. RICHIEDI LA NOTA INFORMATIVA del tuo PIP — sezione 'ISC su 35 anni'. È OBBLIGATORIA (art. 13 D.Lgs. 252/2005). Se l'agente esita, è già un segnale.
2. CONFRONTA CON IL TUO FP NEGOZIALE DI CATEGORIA — il TUO CCNL probabilmente ha già un FP negoziale aderente (Cometa, Fonchim, Fonte, Espero...). ISC tipico 0,3-0,6%.
3. TRASFERIMENTO PIP→NEGOZIALE GRATUITO PER LEGGE dopo 2 anni di adesione (art. 14 D.Lgs. 252/2005). Eventuali penali contrattuali sono NULLE. Procedura: 1 modulo al fondo nuovo, 6 mesi tempo massimo trasferimento.</t>
        </is>
      </c>
    </row>
    <row r="31"/>
    <row r="32"/>
    <row r="33"/>
    <row r="34"/>
    <row r="35"/>
    <row r="36"/>
    <row r="37"/>
    <row r="38" ht="12" customHeight="1"/>
    <row r="39" ht="28" customHeight="1">
      <c r="A39" s="9" t="inlineStr">
        <is>
          <t>🌐  didiertommasi.com    📩  Newsletter settimanale    📊  Materiale educativo  ·  Non consulenza personalizzata</t>
        </is>
      </c>
    </row>
  </sheetData>
  <mergeCells count="11">
    <mergeCell ref="A2:F2"/>
    <mergeCell ref="A10:F10"/>
    <mergeCell ref="A6:F8"/>
    <mergeCell ref="A1:F1"/>
    <mergeCell ref="A21:F27"/>
    <mergeCell ref="A30:F37"/>
    <mergeCell ref="A4:F4"/>
    <mergeCell ref="A20:F20"/>
    <mergeCell ref="A39:F39"/>
    <mergeCell ref="A29:F29"/>
    <mergeCell ref="A11:F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70" customWidth="1" min="3" max="3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'Risultato' si aggiorna automaticamente.</t>
        </is>
      </c>
    </row>
    <row r="3" ht="18" customHeight="1"/>
    <row r="4" ht="28" customHeight="1">
      <c r="A4" s="10" t="inlineStr">
        <is>
          <t>Parametro</t>
        </is>
      </c>
      <c r="B4" s="10" t="inlineStr">
        <is>
          <t>Valore</t>
        </is>
      </c>
      <c r="C4" s="10" t="inlineStr">
        <is>
          <t>Note</t>
        </is>
      </c>
    </row>
    <row r="5" ht="30" customHeight="1">
      <c r="A5" s="11" t="inlineStr">
        <is>
          <t>Contribuzione mensile (TFR + volont.)</t>
        </is>
      </c>
      <c r="B5" s="12" t="n">
        <v>200</v>
      </c>
      <c r="C5" s="13" t="inlineStr">
        <is>
          <t>€/mese — tutto incluso (TFR confluito + versamento volontario)</t>
        </is>
      </c>
    </row>
    <row r="6" ht="30" customHeight="1">
      <c r="A6" s="11" t="inlineStr">
        <is>
          <t>Anni di permanenza</t>
        </is>
      </c>
      <c r="B6" s="14" t="n">
        <v>25</v>
      </c>
      <c r="C6" s="13" t="inlineStr">
        <is>
          <t>anni — 1-50. Sconto fiscale uscita massimo dopo 35 anni (9%)</t>
        </is>
      </c>
    </row>
    <row r="7" ht="30" customHeight="1">
      <c r="A7" s="11" t="inlineStr">
        <is>
          <t>ISC PIP attuale</t>
        </is>
      </c>
      <c r="B7" s="15" t="n">
        <v>2.2</v>
      </c>
      <c r="C7" s="13" t="inlineStr">
        <is>
          <t>% — medio COVIP 2,15%. Lo trovi in Nota Informativa "ISC 35 anni"</t>
        </is>
      </c>
    </row>
    <row r="8" ht="30" customHeight="1">
      <c r="A8" s="11" t="inlineStr">
        <is>
          <t>ISC Negoziale alternativo</t>
        </is>
      </c>
      <c r="B8" s="15" t="n">
        <v>0.4</v>
      </c>
      <c r="C8" s="13" t="inlineStr">
        <is>
          <t>% — medio COVIP 0,49%. Aperti 1,36%. Garantiti 0,2-0,5%</t>
        </is>
      </c>
    </row>
    <row r="9" ht="30" customHeight="1">
      <c r="A9" s="11" t="inlineStr">
        <is>
          <t>Rendimento lordo mercato atteso</t>
        </is>
      </c>
      <c r="B9" s="15" t="n">
        <v>5.5</v>
      </c>
      <c r="C9" s="13" t="inlineStr">
        <is>
          <t>% — comparto bilanciato medio 5-6% lordo lungo termine</t>
        </is>
      </c>
    </row>
    <row r="10" ht="16" customHeight="1"/>
    <row r="11" ht="30" customHeight="1">
      <c r="A11" s="5" t="inlineStr">
        <is>
          <t>🧮 Costanti normative</t>
        </is>
      </c>
    </row>
    <row r="12" ht="22" customHeight="1">
      <c r="A12" s="11" t="inlineStr">
        <is>
          <t>Tassazione annuale rendimenti FP</t>
        </is>
      </c>
      <c r="B12" s="16" t="n">
        <v>0.2</v>
      </c>
      <c r="C12" s="13" t="inlineStr">
        <is>
          <t>Art. 17 D.Lgs. 252/2005</t>
        </is>
      </c>
    </row>
    <row r="13" ht="22" customHeight="1">
      <c r="A13" s="11" t="inlineStr">
        <is>
          <t>Aliquota uscita base</t>
        </is>
      </c>
      <c r="B13" s="16" t="n">
        <v>0.15</v>
      </c>
      <c r="C13" s="13" t="inlineStr">
        <is>
          <t>Si riduce 0,3%/anno oltre il 15° anno</t>
        </is>
      </c>
    </row>
    <row r="14" ht="22" customHeight="1">
      <c r="A14" s="11" t="inlineStr">
        <is>
          <t>Aliquota uscita minima</t>
        </is>
      </c>
      <c r="B14" s="16" t="n">
        <v>0.09</v>
      </c>
      <c r="C14" s="13" t="inlineStr">
        <is>
          <t>Min dopo 35 anni di partecipazione</t>
        </is>
      </c>
    </row>
  </sheetData>
  <mergeCells count="3">
    <mergeCell ref="A1:D1"/>
    <mergeCell ref="A2:D2"/>
    <mergeCell ref="A11:D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20" customWidth="1" min="2" max="2"/>
    <col width="22" customWidth="1" min="3" max="3"/>
    <col width="22" customWidth="1" min="4" max="4"/>
    <col width="22" customWidth="1" min="5" max="5"/>
  </cols>
  <sheetData>
    <row r="1" ht="42" customHeight="1">
      <c r="A1" s="1" t="inlineStr">
        <is>
          <t>🧮  Calcolo — anno per anno PIP vs Negoziale</t>
        </is>
      </c>
    </row>
    <row r="2" ht="22" customHeight="1">
      <c r="A2" s="2" t="inlineStr">
        <is>
          <t>Capitale lordo accumulato (post tassazione 20% annuale rendimenti).</t>
        </is>
      </c>
    </row>
    <row r="3" ht="12" customHeight="1"/>
    <row r="4" ht="32" customHeight="1">
      <c r="A4" s="10" t="inlineStr">
        <is>
          <t>Anno</t>
        </is>
      </c>
      <c r="B4" s="10" t="inlineStr">
        <is>
          <t>Versato cumulato €</t>
        </is>
      </c>
      <c r="C4" s="10" t="inlineStr">
        <is>
          <t>Capitale PIP €</t>
        </is>
      </c>
      <c r="D4" s="10" t="inlineStr">
        <is>
          <t>Capitale Negoziale €</t>
        </is>
      </c>
      <c r="E4" s="10" t="inlineStr">
        <is>
          <t>Δ Negoziale − PIP</t>
        </is>
      </c>
    </row>
    <row r="5">
      <c r="A5" s="17" t="n">
        <v>1</v>
      </c>
      <c r="B5" s="18">
        <f>mensile*12*1</f>
        <v/>
      </c>
      <c r="C5" s="19">
        <f>FV(((rendimento_pct-isc_pip_pct)/100*(1-fp_yearly_tax))/12,1*12,-mensile,0)</f>
        <v/>
      </c>
      <c r="D5" s="19">
        <f>FV(((rendimento_pct-isc_neg_pct)/100*(1-fp_yearly_tax))/12,1*12,-mensile,0)</f>
        <v/>
      </c>
      <c r="E5" s="20">
        <f>D5-C5</f>
        <v/>
      </c>
    </row>
    <row r="6">
      <c r="A6" s="21" t="n">
        <v>2</v>
      </c>
      <c r="B6" s="22">
        <f>mensile*12*2</f>
        <v/>
      </c>
      <c r="C6" s="23">
        <f>FV(((rendimento_pct-isc_pip_pct)/100*(1-fp_yearly_tax))/12,2*12,-mensile,0)</f>
        <v/>
      </c>
      <c r="D6" s="23">
        <f>FV(((rendimento_pct-isc_neg_pct)/100*(1-fp_yearly_tax))/12,2*12,-mensile,0)</f>
        <v/>
      </c>
      <c r="E6" s="24">
        <f>D6-C6</f>
        <v/>
      </c>
    </row>
    <row r="7">
      <c r="A7" s="17" t="n">
        <v>3</v>
      </c>
      <c r="B7" s="18">
        <f>mensile*12*3</f>
        <v/>
      </c>
      <c r="C7" s="19">
        <f>FV(((rendimento_pct-isc_pip_pct)/100*(1-fp_yearly_tax))/12,3*12,-mensile,0)</f>
        <v/>
      </c>
      <c r="D7" s="19">
        <f>FV(((rendimento_pct-isc_neg_pct)/100*(1-fp_yearly_tax))/12,3*12,-mensile,0)</f>
        <v/>
      </c>
      <c r="E7" s="20">
        <f>D7-C7</f>
        <v/>
      </c>
    </row>
    <row r="8">
      <c r="A8" s="21" t="n">
        <v>4</v>
      </c>
      <c r="B8" s="22">
        <f>mensile*12*4</f>
        <v/>
      </c>
      <c r="C8" s="23">
        <f>FV(((rendimento_pct-isc_pip_pct)/100*(1-fp_yearly_tax))/12,4*12,-mensile,0)</f>
        <v/>
      </c>
      <c r="D8" s="23">
        <f>FV(((rendimento_pct-isc_neg_pct)/100*(1-fp_yearly_tax))/12,4*12,-mensile,0)</f>
        <v/>
      </c>
      <c r="E8" s="24">
        <f>D8-C8</f>
        <v/>
      </c>
    </row>
    <row r="9">
      <c r="A9" s="17" t="n">
        <v>5</v>
      </c>
      <c r="B9" s="18">
        <f>mensile*12*5</f>
        <v/>
      </c>
      <c r="C9" s="19">
        <f>FV(((rendimento_pct-isc_pip_pct)/100*(1-fp_yearly_tax))/12,5*12,-mensile,0)</f>
        <v/>
      </c>
      <c r="D9" s="19">
        <f>FV(((rendimento_pct-isc_neg_pct)/100*(1-fp_yearly_tax))/12,5*12,-mensile,0)</f>
        <v/>
      </c>
      <c r="E9" s="20">
        <f>D9-C9</f>
        <v/>
      </c>
    </row>
    <row r="10">
      <c r="A10" s="21" t="n">
        <v>6</v>
      </c>
      <c r="B10" s="22">
        <f>mensile*12*6</f>
        <v/>
      </c>
      <c r="C10" s="23">
        <f>FV(((rendimento_pct-isc_pip_pct)/100*(1-fp_yearly_tax))/12,6*12,-mensile,0)</f>
        <v/>
      </c>
      <c r="D10" s="23">
        <f>FV(((rendimento_pct-isc_neg_pct)/100*(1-fp_yearly_tax))/12,6*12,-mensile,0)</f>
        <v/>
      </c>
      <c r="E10" s="24">
        <f>D10-C10</f>
        <v/>
      </c>
    </row>
    <row r="11">
      <c r="A11" s="17" t="n">
        <v>7</v>
      </c>
      <c r="B11" s="18">
        <f>mensile*12*7</f>
        <v/>
      </c>
      <c r="C11" s="19">
        <f>FV(((rendimento_pct-isc_pip_pct)/100*(1-fp_yearly_tax))/12,7*12,-mensile,0)</f>
        <v/>
      </c>
      <c r="D11" s="19">
        <f>FV(((rendimento_pct-isc_neg_pct)/100*(1-fp_yearly_tax))/12,7*12,-mensile,0)</f>
        <v/>
      </c>
      <c r="E11" s="20">
        <f>D11-C11</f>
        <v/>
      </c>
    </row>
    <row r="12">
      <c r="A12" s="21" t="n">
        <v>8</v>
      </c>
      <c r="B12" s="22">
        <f>mensile*12*8</f>
        <v/>
      </c>
      <c r="C12" s="23">
        <f>FV(((rendimento_pct-isc_pip_pct)/100*(1-fp_yearly_tax))/12,8*12,-mensile,0)</f>
        <v/>
      </c>
      <c r="D12" s="23">
        <f>FV(((rendimento_pct-isc_neg_pct)/100*(1-fp_yearly_tax))/12,8*12,-mensile,0)</f>
        <v/>
      </c>
      <c r="E12" s="24">
        <f>D12-C12</f>
        <v/>
      </c>
    </row>
    <row r="13">
      <c r="A13" s="17" t="n">
        <v>9</v>
      </c>
      <c r="B13" s="18">
        <f>mensile*12*9</f>
        <v/>
      </c>
      <c r="C13" s="19">
        <f>FV(((rendimento_pct-isc_pip_pct)/100*(1-fp_yearly_tax))/12,9*12,-mensile,0)</f>
        <v/>
      </c>
      <c r="D13" s="19">
        <f>FV(((rendimento_pct-isc_neg_pct)/100*(1-fp_yearly_tax))/12,9*12,-mensile,0)</f>
        <v/>
      </c>
      <c r="E13" s="20">
        <f>D13-C13</f>
        <v/>
      </c>
    </row>
    <row r="14">
      <c r="A14" s="21" t="n">
        <v>10</v>
      </c>
      <c r="B14" s="22">
        <f>mensile*12*10</f>
        <v/>
      </c>
      <c r="C14" s="23">
        <f>FV(((rendimento_pct-isc_pip_pct)/100*(1-fp_yearly_tax))/12,10*12,-mensile,0)</f>
        <v/>
      </c>
      <c r="D14" s="23">
        <f>FV(((rendimento_pct-isc_neg_pct)/100*(1-fp_yearly_tax))/12,10*12,-mensile,0)</f>
        <v/>
      </c>
      <c r="E14" s="24">
        <f>D14-C14</f>
        <v/>
      </c>
    </row>
    <row r="15">
      <c r="A15" s="17" t="n">
        <v>11</v>
      </c>
      <c r="B15" s="18">
        <f>mensile*12*11</f>
        <v/>
      </c>
      <c r="C15" s="19">
        <f>FV(((rendimento_pct-isc_pip_pct)/100*(1-fp_yearly_tax))/12,11*12,-mensile,0)</f>
        <v/>
      </c>
      <c r="D15" s="19">
        <f>FV(((rendimento_pct-isc_neg_pct)/100*(1-fp_yearly_tax))/12,11*12,-mensile,0)</f>
        <v/>
      </c>
      <c r="E15" s="20">
        <f>D15-C15</f>
        <v/>
      </c>
    </row>
    <row r="16">
      <c r="A16" s="21" t="n">
        <v>12</v>
      </c>
      <c r="B16" s="22">
        <f>mensile*12*12</f>
        <v/>
      </c>
      <c r="C16" s="23">
        <f>FV(((rendimento_pct-isc_pip_pct)/100*(1-fp_yearly_tax))/12,12*12,-mensile,0)</f>
        <v/>
      </c>
      <c r="D16" s="23">
        <f>FV(((rendimento_pct-isc_neg_pct)/100*(1-fp_yearly_tax))/12,12*12,-mensile,0)</f>
        <v/>
      </c>
      <c r="E16" s="24">
        <f>D16-C16</f>
        <v/>
      </c>
    </row>
    <row r="17">
      <c r="A17" s="17" t="n">
        <v>13</v>
      </c>
      <c r="B17" s="18">
        <f>mensile*12*13</f>
        <v/>
      </c>
      <c r="C17" s="19">
        <f>FV(((rendimento_pct-isc_pip_pct)/100*(1-fp_yearly_tax))/12,13*12,-mensile,0)</f>
        <v/>
      </c>
      <c r="D17" s="19">
        <f>FV(((rendimento_pct-isc_neg_pct)/100*(1-fp_yearly_tax))/12,13*12,-mensile,0)</f>
        <v/>
      </c>
      <c r="E17" s="20">
        <f>D17-C17</f>
        <v/>
      </c>
    </row>
    <row r="18">
      <c r="A18" s="21" t="n">
        <v>14</v>
      </c>
      <c r="B18" s="22">
        <f>mensile*12*14</f>
        <v/>
      </c>
      <c r="C18" s="23">
        <f>FV(((rendimento_pct-isc_pip_pct)/100*(1-fp_yearly_tax))/12,14*12,-mensile,0)</f>
        <v/>
      </c>
      <c r="D18" s="23">
        <f>FV(((rendimento_pct-isc_neg_pct)/100*(1-fp_yearly_tax))/12,14*12,-mensile,0)</f>
        <v/>
      </c>
      <c r="E18" s="24">
        <f>D18-C18</f>
        <v/>
      </c>
    </row>
    <row r="19">
      <c r="A19" s="17" t="n">
        <v>15</v>
      </c>
      <c r="B19" s="18">
        <f>mensile*12*15</f>
        <v/>
      </c>
      <c r="C19" s="19">
        <f>FV(((rendimento_pct-isc_pip_pct)/100*(1-fp_yearly_tax))/12,15*12,-mensile,0)</f>
        <v/>
      </c>
      <c r="D19" s="19">
        <f>FV(((rendimento_pct-isc_neg_pct)/100*(1-fp_yearly_tax))/12,15*12,-mensile,0)</f>
        <v/>
      </c>
      <c r="E19" s="20">
        <f>D19-C19</f>
        <v/>
      </c>
    </row>
    <row r="20">
      <c r="A20" s="21" t="n">
        <v>16</v>
      </c>
      <c r="B20" s="22">
        <f>mensile*12*16</f>
        <v/>
      </c>
      <c r="C20" s="23">
        <f>FV(((rendimento_pct-isc_pip_pct)/100*(1-fp_yearly_tax))/12,16*12,-mensile,0)</f>
        <v/>
      </c>
      <c r="D20" s="23">
        <f>FV(((rendimento_pct-isc_neg_pct)/100*(1-fp_yearly_tax))/12,16*12,-mensile,0)</f>
        <v/>
      </c>
      <c r="E20" s="24">
        <f>D20-C20</f>
        <v/>
      </c>
    </row>
    <row r="21">
      <c r="A21" s="17" t="n">
        <v>17</v>
      </c>
      <c r="B21" s="18">
        <f>mensile*12*17</f>
        <v/>
      </c>
      <c r="C21" s="19">
        <f>FV(((rendimento_pct-isc_pip_pct)/100*(1-fp_yearly_tax))/12,17*12,-mensile,0)</f>
        <v/>
      </c>
      <c r="D21" s="19">
        <f>FV(((rendimento_pct-isc_neg_pct)/100*(1-fp_yearly_tax))/12,17*12,-mensile,0)</f>
        <v/>
      </c>
      <c r="E21" s="20">
        <f>D21-C21</f>
        <v/>
      </c>
    </row>
    <row r="22">
      <c r="A22" s="21" t="n">
        <v>18</v>
      </c>
      <c r="B22" s="22">
        <f>mensile*12*18</f>
        <v/>
      </c>
      <c r="C22" s="23">
        <f>FV(((rendimento_pct-isc_pip_pct)/100*(1-fp_yearly_tax))/12,18*12,-mensile,0)</f>
        <v/>
      </c>
      <c r="D22" s="23">
        <f>FV(((rendimento_pct-isc_neg_pct)/100*(1-fp_yearly_tax))/12,18*12,-mensile,0)</f>
        <v/>
      </c>
      <c r="E22" s="24">
        <f>D22-C22</f>
        <v/>
      </c>
    </row>
    <row r="23">
      <c r="A23" s="17" t="n">
        <v>19</v>
      </c>
      <c r="B23" s="18">
        <f>mensile*12*19</f>
        <v/>
      </c>
      <c r="C23" s="19">
        <f>FV(((rendimento_pct-isc_pip_pct)/100*(1-fp_yearly_tax))/12,19*12,-mensile,0)</f>
        <v/>
      </c>
      <c r="D23" s="19">
        <f>FV(((rendimento_pct-isc_neg_pct)/100*(1-fp_yearly_tax))/12,19*12,-mensile,0)</f>
        <v/>
      </c>
      <c r="E23" s="20">
        <f>D23-C23</f>
        <v/>
      </c>
    </row>
    <row r="24">
      <c r="A24" s="21" t="n">
        <v>20</v>
      </c>
      <c r="B24" s="22">
        <f>mensile*12*20</f>
        <v/>
      </c>
      <c r="C24" s="23">
        <f>FV(((rendimento_pct-isc_pip_pct)/100*(1-fp_yearly_tax))/12,20*12,-mensile,0)</f>
        <v/>
      </c>
      <c r="D24" s="23">
        <f>FV(((rendimento_pct-isc_neg_pct)/100*(1-fp_yearly_tax))/12,20*12,-mensile,0)</f>
        <v/>
      </c>
      <c r="E24" s="24">
        <f>D24-C24</f>
        <v/>
      </c>
    </row>
    <row r="25">
      <c r="A25" s="17" t="n">
        <v>21</v>
      </c>
      <c r="B25" s="18">
        <f>mensile*12*21</f>
        <v/>
      </c>
      <c r="C25" s="19">
        <f>FV(((rendimento_pct-isc_pip_pct)/100*(1-fp_yearly_tax))/12,21*12,-mensile,0)</f>
        <v/>
      </c>
      <c r="D25" s="19">
        <f>FV(((rendimento_pct-isc_neg_pct)/100*(1-fp_yearly_tax))/12,21*12,-mensile,0)</f>
        <v/>
      </c>
      <c r="E25" s="20">
        <f>D25-C25</f>
        <v/>
      </c>
    </row>
    <row r="26">
      <c r="A26" s="21" t="n">
        <v>22</v>
      </c>
      <c r="B26" s="22">
        <f>mensile*12*22</f>
        <v/>
      </c>
      <c r="C26" s="23">
        <f>FV(((rendimento_pct-isc_pip_pct)/100*(1-fp_yearly_tax))/12,22*12,-mensile,0)</f>
        <v/>
      </c>
      <c r="D26" s="23">
        <f>FV(((rendimento_pct-isc_neg_pct)/100*(1-fp_yearly_tax))/12,22*12,-mensile,0)</f>
        <v/>
      </c>
      <c r="E26" s="24">
        <f>D26-C26</f>
        <v/>
      </c>
    </row>
    <row r="27">
      <c r="A27" s="17" t="n">
        <v>23</v>
      </c>
      <c r="B27" s="18">
        <f>mensile*12*23</f>
        <v/>
      </c>
      <c r="C27" s="19">
        <f>FV(((rendimento_pct-isc_pip_pct)/100*(1-fp_yearly_tax))/12,23*12,-mensile,0)</f>
        <v/>
      </c>
      <c r="D27" s="19">
        <f>FV(((rendimento_pct-isc_neg_pct)/100*(1-fp_yearly_tax))/12,23*12,-mensile,0)</f>
        <v/>
      </c>
      <c r="E27" s="20">
        <f>D27-C27</f>
        <v/>
      </c>
    </row>
    <row r="28">
      <c r="A28" s="21" t="n">
        <v>24</v>
      </c>
      <c r="B28" s="22">
        <f>mensile*12*24</f>
        <v/>
      </c>
      <c r="C28" s="23">
        <f>FV(((rendimento_pct-isc_pip_pct)/100*(1-fp_yearly_tax))/12,24*12,-mensile,0)</f>
        <v/>
      </c>
      <c r="D28" s="23">
        <f>FV(((rendimento_pct-isc_neg_pct)/100*(1-fp_yearly_tax))/12,24*12,-mensile,0)</f>
        <v/>
      </c>
      <c r="E28" s="24">
        <f>D28-C28</f>
        <v/>
      </c>
    </row>
    <row r="29">
      <c r="A29" s="17" t="n">
        <v>25</v>
      </c>
      <c r="B29" s="18">
        <f>mensile*12*25</f>
        <v/>
      </c>
      <c r="C29" s="19">
        <f>FV(((rendimento_pct-isc_pip_pct)/100*(1-fp_yearly_tax))/12,25*12,-mensile,0)</f>
        <v/>
      </c>
      <c r="D29" s="19">
        <f>FV(((rendimento_pct-isc_neg_pct)/100*(1-fp_yearly_tax))/12,25*12,-mensile,0)</f>
        <v/>
      </c>
      <c r="E29" s="20">
        <f>D29-C29</f>
        <v/>
      </c>
    </row>
    <row r="30">
      <c r="A30" s="21" t="n">
        <v>26</v>
      </c>
      <c r="B30" s="22">
        <f>mensile*12*26</f>
        <v/>
      </c>
      <c r="C30" s="23">
        <f>FV(((rendimento_pct-isc_pip_pct)/100*(1-fp_yearly_tax))/12,26*12,-mensile,0)</f>
        <v/>
      </c>
      <c r="D30" s="23">
        <f>FV(((rendimento_pct-isc_neg_pct)/100*(1-fp_yearly_tax))/12,26*12,-mensile,0)</f>
        <v/>
      </c>
      <c r="E30" s="24">
        <f>D30-C30</f>
        <v/>
      </c>
    </row>
    <row r="31">
      <c r="A31" s="17" t="n">
        <v>27</v>
      </c>
      <c r="B31" s="18">
        <f>mensile*12*27</f>
        <v/>
      </c>
      <c r="C31" s="19">
        <f>FV(((rendimento_pct-isc_pip_pct)/100*(1-fp_yearly_tax))/12,27*12,-mensile,0)</f>
        <v/>
      </c>
      <c r="D31" s="19">
        <f>FV(((rendimento_pct-isc_neg_pct)/100*(1-fp_yearly_tax))/12,27*12,-mensile,0)</f>
        <v/>
      </c>
      <c r="E31" s="20">
        <f>D31-C31</f>
        <v/>
      </c>
    </row>
    <row r="32">
      <c r="A32" s="21" t="n">
        <v>28</v>
      </c>
      <c r="B32" s="22">
        <f>mensile*12*28</f>
        <v/>
      </c>
      <c r="C32" s="23">
        <f>FV(((rendimento_pct-isc_pip_pct)/100*(1-fp_yearly_tax))/12,28*12,-mensile,0)</f>
        <v/>
      </c>
      <c r="D32" s="23">
        <f>FV(((rendimento_pct-isc_neg_pct)/100*(1-fp_yearly_tax))/12,28*12,-mensile,0)</f>
        <v/>
      </c>
      <c r="E32" s="24">
        <f>D32-C32</f>
        <v/>
      </c>
    </row>
    <row r="33">
      <c r="A33" s="17" t="n">
        <v>29</v>
      </c>
      <c r="B33" s="18">
        <f>mensile*12*29</f>
        <v/>
      </c>
      <c r="C33" s="19">
        <f>FV(((rendimento_pct-isc_pip_pct)/100*(1-fp_yearly_tax))/12,29*12,-mensile,0)</f>
        <v/>
      </c>
      <c r="D33" s="19">
        <f>FV(((rendimento_pct-isc_neg_pct)/100*(1-fp_yearly_tax))/12,29*12,-mensile,0)</f>
        <v/>
      </c>
      <c r="E33" s="20">
        <f>D33-C33</f>
        <v/>
      </c>
    </row>
    <row r="34">
      <c r="A34" s="21" t="n">
        <v>30</v>
      </c>
      <c r="B34" s="22">
        <f>mensile*12*30</f>
        <v/>
      </c>
      <c r="C34" s="23">
        <f>FV(((rendimento_pct-isc_pip_pct)/100*(1-fp_yearly_tax))/12,30*12,-mensile,0)</f>
        <v/>
      </c>
      <c r="D34" s="23">
        <f>FV(((rendimento_pct-isc_neg_pct)/100*(1-fp_yearly_tax))/12,30*12,-mensile,0)</f>
        <v/>
      </c>
      <c r="E34" s="24">
        <f>D34-C34</f>
        <v/>
      </c>
    </row>
    <row r="35">
      <c r="A35" s="17" t="n">
        <v>31</v>
      </c>
      <c r="B35" s="18">
        <f>mensile*12*31</f>
        <v/>
      </c>
      <c r="C35" s="19">
        <f>FV(((rendimento_pct-isc_pip_pct)/100*(1-fp_yearly_tax))/12,31*12,-mensile,0)</f>
        <v/>
      </c>
      <c r="D35" s="19">
        <f>FV(((rendimento_pct-isc_neg_pct)/100*(1-fp_yearly_tax))/12,31*12,-mensile,0)</f>
        <v/>
      </c>
      <c r="E35" s="20">
        <f>D35-C35</f>
        <v/>
      </c>
    </row>
    <row r="36">
      <c r="A36" s="21" t="n">
        <v>32</v>
      </c>
      <c r="B36" s="22">
        <f>mensile*12*32</f>
        <v/>
      </c>
      <c r="C36" s="23">
        <f>FV(((rendimento_pct-isc_pip_pct)/100*(1-fp_yearly_tax))/12,32*12,-mensile,0)</f>
        <v/>
      </c>
      <c r="D36" s="23">
        <f>FV(((rendimento_pct-isc_neg_pct)/100*(1-fp_yearly_tax))/12,32*12,-mensile,0)</f>
        <v/>
      </c>
      <c r="E36" s="24">
        <f>D36-C36</f>
        <v/>
      </c>
    </row>
    <row r="37">
      <c r="A37" s="17" t="n">
        <v>33</v>
      </c>
      <c r="B37" s="18">
        <f>mensile*12*33</f>
        <v/>
      </c>
      <c r="C37" s="19">
        <f>FV(((rendimento_pct-isc_pip_pct)/100*(1-fp_yearly_tax))/12,33*12,-mensile,0)</f>
        <v/>
      </c>
      <c r="D37" s="19">
        <f>FV(((rendimento_pct-isc_neg_pct)/100*(1-fp_yearly_tax))/12,33*12,-mensile,0)</f>
        <v/>
      </c>
      <c r="E37" s="20">
        <f>D37-C37</f>
        <v/>
      </c>
    </row>
    <row r="38">
      <c r="A38" s="21" t="n">
        <v>34</v>
      </c>
      <c r="B38" s="22">
        <f>mensile*12*34</f>
        <v/>
      </c>
      <c r="C38" s="23">
        <f>FV(((rendimento_pct-isc_pip_pct)/100*(1-fp_yearly_tax))/12,34*12,-mensile,0)</f>
        <v/>
      </c>
      <c r="D38" s="23">
        <f>FV(((rendimento_pct-isc_neg_pct)/100*(1-fp_yearly_tax))/12,34*12,-mensile,0)</f>
        <v/>
      </c>
      <c r="E38" s="24">
        <f>D38-C38</f>
        <v/>
      </c>
    </row>
    <row r="39">
      <c r="A39" s="17" t="n">
        <v>35</v>
      </c>
      <c r="B39" s="18">
        <f>mensile*12*35</f>
        <v/>
      </c>
      <c r="C39" s="19">
        <f>FV(((rendimento_pct-isc_pip_pct)/100*(1-fp_yearly_tax))/12,35*12,-mensile,0)</f>
        <v/>
      </c>
      <c r="D39" s="19">
        <f>FV(((rendimento_pct-isc_neg_pct)/100*(1-fp_yearly_tax))/12,35*12,-mensile,0)</f>
        <v/>
      </c>
      <c r="E39" s="20">
        <f>D39-C39</f>
        <v/>
      </c>
    </row>
    <row r="40">
      <c r="A40" s="21" t="n">
        <v>36</v>
      </c>
      <c r="B40" s="22">
        <f>mensile*12*36</f>
        <v/>
      </c>
      <c r="C40" s="23">
        <f>FV(((rendimento_pct-isc_pip_pct)/100*(1-fp_yearly_tax))/12,36*12,-mensile,0)</f>
        <v/>
      </c>
      <c r="D40" s="23">
        <f>FV(((rendimento_pct-isc_neg_pct)/100*(1-fp_yearly_tax))/12,36*12,-mensile,0)</f>
        <v/>
      </c>
      <c r="E40" s="24">
        <f>D40-C40</f>
        <v/>
      </c>
    </row>
    <row r="41">
      <c r="A41" s="17" t="n">
        <v>37</v>
      </c>
      <c r="B41" s="18">
        <f>mensile*12*37</f>
        <v/>
      </c>
      <c r="C41" s="19">
        <f>FV(((rendimento_pct-isc_pip_pct)/100*(1-fp_yearly_tax))/12,37*12,-mensile,0)</f>
        <v/>
      </c>
      <c r="D41" s="19">
        <f>FV(((rendimento_pct-isc_neg_pct)/100*(1-fp_yearly_tax))/12,37*12,-mensile,0)</f>
        <v/>
      </c>
      <c r="E41" s="20">
        <f>D41-C41</f>
        <v/>
      </c>
    </row>
    <row r="42">
      <c r="A42" s="21" t="n">
        <v>38</v>
      </c>
      <c r="B42" s="22">
        <f>mensile*12*38</f>
        <v/>
      </c>
      <c r="C42" s="23">
        <f>FV(((rendimento_pct-isc_pip_pct)/100*(1-fp_yearly_tax))/12,38*12,-mensile,0)</f>
        <v/>
      </c>
      <c r="D42" s="23">
        <f>FV(((rendimento_pct-isc_neg_pct)/100*(1-fp_yearly_tax))/12,38*12,-mensile,0)</f>
        <v/>
      </c>
      <c r="E42" s="24">
        <f>D42-C42</f>
        <v/>
      </c>
    </row>
    <row r="43">
      <c r="A43" s="17" t="n">
        <v>39</v>
      </c>
      <c r="B43" s="18">
        <f>mensile*12*39</f>
        <v/>
      </c>
      <c r="C43" s="19">
        <f>FV(((rendimento_pct-isc_pip_pct)/100*(1-fp_yearly_tax))/12,39*12,-mensile,0)</f>
        <v/>
      </c>
      <c r="D43" s="19">
        <f>FV(((rendimento_pct-isc_neg_pct)/100*(1-fp_yearly_tax))/12,39*12,-mensile,0)</f>
        <v/>
      </c>
      <c r="E43" s="20">
        <f>D43-C43</f>
        <v/>
      </c>
    </row>
    <row r="44">
      <c r="A44" s="21" t="n">
        <v>40</v>
      </c>
      <c r="B44" s="22">
        <f>mensile*12*40</f>
        <v/>
      </c>
      <c r="C44" s="23">
        <f>FV(((rendimento_pct-isc_pip_pct)/100*(1-fp_yearly_tax))/12,40*12,-mensile,0)</f>
        <v/>
      </c>
      <c r="D44" s="23">
        <f>FV(((rendimento_pct-isc_neg_pct)/100*(1-fp_yearly_tax))/12,40*12,-mensile,0)</f>
        <v/>
      </c>
      <c r="E44" s="24">
        <f>D44-C44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42" customHeight="1">
      <c r="A1" s="1" t="inlineStr">
        <is>
          <t>📊  Risultato — quanto in più con il Negoziale</t>
        </is>
      </c>
    </row>
    <row r="2" ht="16" customHeight="1"/>
    <row r="3">
      <c r="A3" s="25" t="inlineStr">
        <is>
          <t>Capitale NETTO in più nel Negoziale vs PIP (a fine periodo)</t>
        </is>
      </c>
    </row>
    <row r="4" ht="28" customHeight="1">
      <c r="A4" s="26">
        <f>((mensile*12*anni)*(1-MAX(fp_min_exit, fp_base_exit - MAX(0, anni-15)*0.003)) + MAX(0, INDEX(Calcolo!D:D, anni+4) - (mensile*12*anni))) - ((mensile*12*anni)*(1-MAX(fp_min_exit, fp_base_exit - MAX(0, anni-15)*0.003)) + MAX(0, INDEX(Calcolo!C:C, anni+4) - (mensile*12*anni)))</f>
        <v/>
      </c>
    </row>
    <row r="5" ht="28" customHeight="1"/>
    <row r="6" ht="28" customHeight="1"/>
    <row r="7" ht="12" customHeight="1"/>
    <row r="8">
      <c r="A8" s="27" t="inlineStr">
        <is>
          <t>% di capitale in più passando al Negoziale</t>
        </is>
      </c>
    </row>
    <row r="9" ht="32" customHeight="1">
      <c r="A9" s="28">
        <f>(((mensile*12*anni)*(1-MAX(fp_min_exit, fp_base_exit - MAX(0, anni-15)*0.003)) + MAX(0, INDEX(Calcolo!D:D, anni+4) - (mensile*12*anni))) - ((mensile*12*anni)*(1-MAX(fp_min_exit, fp_base_exit - MAX(0, anni-15)*0.003)) + MAX(0, INDEX(Calcolo!C:C, anni+4) - (mensile*12*anni)))) / ((mensile*12*anni)*(1-MAX(fp_min_exit, fp_base_exit - MAX(0, anni-15)*0.003)) + MAX(0, INDEX(Calcolo!C:C, anni+4) - (mensile*12*anni)))</f>
        <v/>
      </c>
    </row>
    <row r="10" ht="16" customHeight="1"/>
    <row r="11" ht="30" customHeight="1">
      <c r="A11" s="5" t="inlineStr">
        <is>
          <t>🧾  Riepilogo confronto netto</t>
        </is>
      </c>
    </row>
    <row r="12" ht="26" customHeight="1">
      <c r="A12" s="29" t="inlineStr">
        <is>
          <t>Anni di permanenza</t>
        </is>
      </c>
      <c r="B12" s="30" t="n"/>
      <c r="C12" s="30" t="n"/>
      <c r="D12" s="30" t="n"/>
      <c r="E12" s="31">
        <f>anni</f>
        <v/>
      </c>
      <c r="F12" s="30" t="n"/>
    </row>
    <row r="13" ht="26" customHeight="1">
      <c r="A13" s="29" t="inlineStr">
        <is>
          <t>Versato totale (TFR+vol.)</t>
        </is>
      </c>
      <c r="B13" s="30" t="n"/>
      <c r="C13" s="30" t="n"/>
      <c r="D13" s="30" t="n"/>
      <c r="E13" s="32">
        <f>(mensile*12*anni)</f>
        <v/>
      </c>
      <c r="F13" s="30" t="n"/>
    </row>
    <row r="14" ht="26" customHeight="1">
      <c r="A14" s="29" t="inlineStr">
        <is>
          <t>ISC PIP applicato</t>
        </is>
      </c>
      <c r="B14" s="30" t="n"/>
      <c r="C14" s="30" t="n"/>
      <c r="D14" s="30" t="n"/>
      <c r="E14" s="33">
        <f>isc_pip_pct/100</f>
        <v/>
      </c>
      <c r="F14" s="30" t="n"/>
    </row>
    <row r="15" ht="26" customHeight="1">
      <c r="A15" s="29" t="inlineStr">
        <is>
          <t>ISC Negoziale applicato</t>
        </is>
      </c>
      <c r="B15" s="30" t="n"/>
      <c r="C15" s="30" t="n"/>
      <c r="D15" s="30" t="n"/>
      <c r="E15" s="33">
        <f>isc_neg_pct/100</f>
        <v/>
      </c>
      <c r="F15" s="30" t="n"/>
    </row>
    <row r="16" ht="26" customHeight="1">
      <c r="A16" s="29" t="inlineStr">
        <is>
          <t>Aliquota uscita FP applicata</t>
        </is>
      </c>
      <c r="B16" s="30" t="n"/>
      <c r="C16" s="30" t="n"/>
      <c r="D16" s="30" t="n"/>
      <c r="E16" s="34">
        <f>MAX(fp_min_exit, fp_base_exit - MAX(0, anni-15)*0.003)</f>
        <v/>
      </c>
      <c r="F16" s="30" t="n"/>
    </row>
    <row r="17" ht="26" customHeight="1">
      <c r="A17" s="29" t="inlineStr">
        <is>
          <t>Capitale PIP lordo a fine</t>
        </is>
      </c>
      <c r="B17" s="30" t="n"/>
      <c r="C17" s="30" t="n"/>
      <c r="D17" s="30" t="n"/>
      <c r="E17" s="32">
        <f>INDEX(Calcolo!C:C, anni+4)</f>
        <v/>
      </c>
      <c r="F17" s="30" t="n"/>
    </row>
    <row r="18" ht="26" customHeight="1">
      <c r="A18" s="29" t="inlineStr">
        <is>
          <t>Capitale PIP NETTO post tasse</t>
        </is>
      </c>
      <c r="B18" s="30" t="n"/>
      <c r="C18" s="30" t="n"/>
      <c r="D18" s="30" t="n"/>
      <c r="E18" s="32">
        <f>((mensile*12*anni)*(1-MAX(fp_min_exit, fp_base_exit - MAX(0, anni-15)*0.003)) + MAX(0, INDEX(Calcolo!C:C, anni+4) - (mensile*12*anni)))</f>
        <v/>
      </c>
      <c r="F18" s="30" t="n"/>
    </row>
    <row r="19" ht="26" customHeight="1">
      <c r="A19" s="29" t="inlineStr">
        <is>
          <t>Capitale Negoziale lordo a fine</t>
        </is>
      </c>
      <c r="B19" s="30" t="n"/>
      <c r="C19" s="30" t="n"/>
      <c r="D19" s="30" t="n"/>
      <c r="E19" s="32">
        <f>INDEX(Calcolo!D:D, anni+4)</f>
        <v/>
      </c>
      <c r="F19" s="30" t="n"/>
    </row>
    <row r="20" ht="26" customHeight="1">
      <c r="A20" s="29" t="inlineStr">
        <is>
          <t>Capitale Negoziale NETTO post tasse</t>
        </is>
      </c>
      <c r="B20" s="30" t="n"/>
      <c r="C20" s="30" t="n"/>
      <c r="D20" s="30" t="n"/>
      <c r="E20" s="32">
        <f>((mensile*12*anni)*(1-MAX(fp_min_exit, fp_base_exit - MAX(0, anni-15)*0.003)) + MAX(0, INDEX(Calcolo!D:D, anni+4) - (mensile*12*anni)))</f>
        <v/>
      </c>
      <c r="F20" s="30" t="n"/>
    </row>
    <row r="21" ht="26" customHeight="1">
      <c r="A21" s="29" t="inlineStr">
        <is>
          <t>DELTA NETTO (Negoziale − PIP)</t>
        </is>
      </c>
      <c r="B21" s="30" t="n"/>
      <c r="C21" s="30" t="n"/>
      <c r="D21" s="30" t="n"/>
      <c r="E21" s="35">
        <f>((mensile*12*anni)*(1-MAX(fp_min_exit, fp_base_exit - MAX(0, anni-15)*0.003)) + MAX(0, INDEX(Calcolo!D:D, anni+4) - (mensile*12*anni))) - ((mensile*12*anni)*(1-MAX(fp_min_exit, fp_base_exit - MAX(0, anni-15)*0.003)) + MAX(0, INDEX(Calcolo!C:C, anni+4) - (mensile*12*anni)))</f>
        <v/>
      </c>
      <c r="F21" s="30" t="n"/>
    </row>
    <row r="22" ht="26" customHeight="1">
      <c r="A22" s="29" t="inlineStr">
        <is>
          <t>Risparmio annualizzato (delta/anni)</t>
        </is>
      </c>
      <c r="B22" s="30" t="n"/>
      <c r="C22" s="30" t="n"/>
      <c r="D22" s="30" t="n"/>
      <c r="E22" s="32">
        <f>(((mensile*12*anni)*(1-MAX(fp_min_exit, fp_base_exit - MAX(0, anni-15)*0.003)) + MAX(0, INDEX(Calcolo!D:D, anni+4) - (mensile*12*anni))) - ((mensile*12*anni)*(1-MAX(fp_min_exit, fp_base_exit - MAX(0, anni-15)*0.003)) + MAX(0, INDEX(Calcolo!C:C, anni+4) - (mensile*12*anni))))/anni</f>
        <v/>
      </c>
      <c r="F22" s="30" t="n"/>
    </row>
    <row r="24" ht="16" customHeight="1"/>
    <row r="25" ht="28" customHeight="1">
      <c r="A25" s="5" t="inlineStr">
        <is>
          <t>📈  Curve sovrapposte: Capitale PIP vs Negoziale (lordo)</t>
        </is>
      </c>
    </row>
    <row r="49" ht="28" customHeight="1">
      <c r="A49" s="9" t="inlineStr">
        <is>
          <t>🌐  didiertommasi.com    📩  Newsletter settimanale    📊  Materiale educativo  ·  Non consulenza personalizzata</t>
        </is>
      </c>
    </row>
  </sheetData>
  <mergeCells count="30">
    <mergeCell ref="E12:F12"/>
    <mergeCell ref="A17:D17"/>
    <mergeCell ref="A22:D22"/>
    <mergeCell ref="A20:D20"/>
    <mergeCell ref="E14:F14"/>
    <mergeCell ref="A19:D19"/>
    <mergeCell ref="A3:F3"/>
    <mergeCell ref="E17:F17"/>
    <mergeCell ref="A13:D13"/>
    <mergeCell ref="E20:F20"/>
    <mergeCell ref="E19:F19"/>
    <mergeCell ref="A8:F8"/>
    <mergeCell ref="A15:D15"/>
    <mergeCell ref="E13:F13"/>
    <mergeCell ref="A25:F25"/>
    <mergeCell ref="E15:F15"/>
    <mergeCell ref="A4:F6"/>
    <mergeCell ref="A9:F9"/>
    <mergeCell ref="A16:D16"/>
    <mergeCell ref="A11:F11"/>
    <mergeCell ref="A18:D18"/>
    <mergeCell ref="A49:F49"/>
    <mergeCell ref="E16:F16"/>
    <mergeCell ref="E21:F21"/>
    <mergeCell ref="A12:D12"/>
    <mergeCell ref="A1:F1"/>
    <mergeCell ref="A21:D21"/>
    <mergeCell ref="E22:F22"/>
    <mergeCell ref="E18:F18"/>
    <mergeCell ref="A14:D1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2026-04-28T20:39:19Z</dcterms:created>
  <dcterms:modified xsi:type="dcterms:W3CDTF">2026-04-28T20:39:19Z</dcterms:modified>
</cp:coreProperties>
</file>