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struzioni" sheetId="1" state="visible" r:id="rId1"/>
    <sheet name="Input" sheetId="2" state="visible" r:id="rId2"/>
    <sheet name="Calcolo" sheetId="3" state="visible" r:id="rId3"/>
    <sheet name="Risultato" sheetId="4" state="visible" r:id="rId4"/>
  </sheets>
  <definedNames>
    <definedName name="capitale_iniziale">Input!$B$5</definedName>
    <definedName name="pac_mensile">Input!$B$6</definedName>
    <definedName name="anni_accumulo">Input!$B$7</definedName>
    <definedName name="anni_rendita">Input!$B$8</definedName>
    <definedName name="rate_acc_pct">Input!$B$9</definedName>
    <definedName name="rate_dec_pct">Input!$B$10</definedName>
    <definedName name="cap_gain_tax">Input!$B$13</definedName>
    <definedName name="bollo">Input!$B$14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#,##0 &quot;€&quot;"/>
    <numFmt numFmtId="165" formatCode="0.00&quot;%&quot;"/>
    <numFmt numFmtId="166" formatCode="0.0%"/>
    <numFmt numFmtId="167" formatCode="&quot;+&quot;#,##0 &quot;€&quot;"/>
  </numFmts>
  <fonts count="17">
    <font>
      <name val="Calibri"/>
      <family val="2"/>
      <color theme="1"/>
      <sz val="11"/>
      <scheme val="minor"/>
    </font>
    <font>
      <name val="Calibri"/>
      <b val="1"/>
      <color rgb="00FFFFFF"/>
      <sz val="24"/>
    </font>
    <font>
      <name val="Calibri"/>
      <i val="1"/>
      <color rgb="00E8A33D"/>
      <sz val="10"/>
    </font>
    <font>
      <name val="Calibri"/>
      <b val="1"/>
      <color rgb="0014213D"/>
      <sz val="13"/>
    </font>
    <font>
      <name val="Calibri"/>
      <i val="1"/>
      <color rgb="006B7280"/>
      <sz val="9"/>
    </font>
    <font>
      <name val="Consolas"/>
      <color rgb="001A2950"/>
      <sz val="9"/>
    </font>
    <font>
      <name val="Calibri"/>
      <color rgb="00E8A33D"/>
      <sz val="9"/>
    </font>
    <font>
      <name val="Calibri"/>
      <b val="1"/>
      <color rgb="00FFFFFF"/>
      <sz val="10"/>
    </font>
    <font>
      <name val="Calibri"/>
      <b val="1"/>
      <color rgb="0014213D"/>
      <sz val="11"/>
    </font>
    <font>
      <name val="Calibri"/>
      <b val="1"/>
      <color rgb="0014213D"/>
      <sz val="14"/>
    </font>
    <font>
      <name val="Calibri"/>
      <b val="1"/>
      <color rgb="0014213D"/>
      <sz val="10"/>
    </font>
    <font>
      <name val="Calibri"/>
      <color rgb="004A5568"/>
      <sz val="10"/>
    </font>
    <font>
      <name val="Calibri"/>
      <color rgb="006B7280"/>
      <sz val="11"/>
    </font>
    <font>
      <name val="Calibri"/>
      <b val="1"/>
      <color rgb="0014213D"/>
      <sz val="32"/>
    </font>
    <font>
      <name val="Calibri"/>
      <color rgb="006B7280"/>
      <sz val="10"/>
    </font>
    <font>
      <name val="Calibri"/>
      <b val="1"/>
      <color rgb="0014213D"/>
      <sz val="22"/>
    </font>
    <font>
      <name val="Calibri"/>
      <b val="1"/>
      <color rgb="0014213D"/>
      <sz val="12"/>
    </font>
  </fonts>
  <fills count="10">
    <fill>
      <patternFill/>
    </fill>
    <fill>
      <patternFill patternType="gray125"/>
    </fill>
    <fill>
      <patternFill patternType="solid">
        <fgColor rgb="0014213D"/>
        <bgColor rgb="0014213D"/>
      </patternFill>
    </fill>
    <fill>
      <patternFill patternType="solid">
        <fgColor rgb="00070D1C"/>
        <bgColor rgb="00070D1C"/>
      </patternFill>
    </fill>
    <fill>
      <patternFill patternType="solid">
        <fgColor rgb="00E8A33D"/>
        <bgColor rgb="00E8A33D"/>
      </patternFill>
    </fill>
    <fill>
      <patternFill patternType="solid">
        <fgColor rgb="00FAFAF7"/>
        <bgColor rgb="00FAFAF7"/>
      </patternFill>
    </fill>
    <fill>
      <patternFill patternType="solid">
        <fgColor rgb="00FFF8E1"/>
        <bgColor rgb="00FFF8E1"/>
      </patternFill>
    </fill>
    <fill>
      <patternFill patternType="solid">
        <fgColor rgb="00FFF3D6"/>
        <bgColor rgb="00FFF3D6"/>
      </patternFill>
    </fill>
    <fill>
      <patternFill patternType="solid">
        <fgColor rgb="00F8F8F5"/>
        <bgColor rgb="00F8F8F5"/>
      </patternFill>
    </fill>
    <fill>
      <patternFill patternType="solid">
        <fgColor rgb="00D4F5E5"/>
        <bgColor rgb="00D4F5E5"/>
      </patternFill>
    </fill>
  </fills>
  <borders count="5">
    <border>
      <left/>
      <right/>
      <top/>
      <bottom/>
      <diagonal/>
    </border>
    <border>
      <left style="medium">
        <color rgb="00E8A33D"/>
      </left>
      <right style="medium">
        <color rgb="00E8A33D"/>
      </right>
      <top style="medium">
        <color rgb="00E8A33D"/>
      </top>
      <bottom style="medium">
        <color rgb="00E8A33D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bottom style="thin">
        <color rgb="00E5E7EB"/>
      </bottom>
    </border>
    <border>
      <left/>
      <right/>
      <top/>
      <bottom style="thin">
        <color rgb="00E5E7EB"/>
      </bottom>
      <diagonal/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4" fillId="5" borderId="0" applyAlignment="1" pivotButton="0" quotePrefix="0" xfId="0">
      <alignment horizontal="left" vertical="top" wrapText="1" indent="1"/>
    </xf>
    <xf numFmtId="0" fontId="3" fillId="0" borderId="0" applyAlignment="1" pivotButton="0" quotePrefix="0" xfId="0">
      <alignment horizontal="left" vertical="center" wrapText="1" indent="1"/>
    </xf>
    <xf numFmtId="0" fontId="5" fillId="5" borderId="1" applyAlignment="1" pivotButton="0" quotePrefix="0" xfId="0">
      <alignment horizontal="left" vertical="top" wrapText="1" indent="1"/>
    </xf>
    <xf numFmtId="0" fontId="4" fillId="0" borderId="0" applyAlignment="1" pivotButton="0" quotePrefix="0" xfId="0">
      <alignment horizontal="left" vertical="top" wrapText="1" indent="1"/>
    </xf>
    <xf numFmtId="0" fontId="4" fillId="6" borderId="1" applyAlignment="1" pivotButton="0" quotePrefix="0" xfId="0">
      <alignment horizontal="left" vertical="top" wrapText="1" indent="1"/>
    </xf>
    <xf numFmtId="0" fontId="6" fillId="3" borderId="0" applyAlignment="1" pivotButton="0" quotePrefix="0" xfId="0">
      <alignment horizontal="center" vertical="center" wrapText="1"/>
    </xf>
    <xf numFmtId="0" fontId="7" fillId="2" borderId="2" applyAlignment="1" pivotButton="0" quotePrefix="0" xfId="0">
      <alignment horizontal="center" vertical="center" wrapText="1"/>
    </xf>
    <xf numFmtId="0" fontId="8" fillId="0" borderId="2" applyAlignment="1" pivotButton="0" quotePrefix="0" xfId="0">
      <alignment horizontal="left" vertical="center" wrapText="1" indent="1"/>
    </xf>
    <xf numFmtId="164" fontId="9" fillId="7" borderId="1" applyAlignment="1" pivotButton="0" quotePrefix="0" xfId="0">
      <alignment horizontal="center" vertical="center" wrapText="1"/>
    </xf>
    <xf numFmtId="0" fontId="4" fillId="0" borderId="2" applyAlignment="1" pivotButton="0" quotePrefix="0" xfId="0">
      <alignment horizontal="left" vertical="top" wrapText="1" indent="1"/>
    </xf>
    <xf numFmtId="1" fontId="9" fillId="7" borderId="1" applyAlignment="1" pivotButton="0" quotePrefix="0" xfId="0">
      <alignment horizontal="center" vertical="center" wrapText="1"/>
    </xf>
    <xf numFmtId="165" fontId="9" fillId="7" borderId="1" applyAlignment="1" pivotButton="0" quotePrefix="0" xfId="0">
      <alignment horizontal="center" vertical="center" wrapText="1"/>
    </xf>
    <xf numFmtId="9" fontId="8" fillId="8" borderId="2" applyAlignment="1" pivotButton="0" quotePrefix="0" xfId="0">
      <alignment horizontal="center" vertical="center" wrapText="1"/>
    </xf>
    <xf numFmtId="166" fontId="8" fillId="8" borderId="2" applyAlignment="1" pivotButton="0" quotePrefix="0" xfId="0">
      <alignment horizontal="center" vertical="center" wrapText="1"/>
    </xf>
    <xf numFmtId="0" fontId="10" fillId="0" borderId="2" applyAlignment="1" pivotButton="0" quotePrefix="0" xfId="0">
      <alignment horizontal="center" vertical="center" wrapText="1"/>
    </xf>
    <xf numFmtId="164" fontId="10" fillId="0" borderId="2" applyAlignment="1" pivotButton="0" quotePrefix="0" xfId="0">
      <alignment horizontal="right" vertical="center" indent="1"/>
    </xf>
    <xf numFmtId="164" fontId="11" fillId="0" borderId="2" applyAlignment="1" pivotButton="0" quotePrefix="0" xfId="0">
      <alignment horizontal="right" vertical="center" indent="1"/>
    </xf>
    <xf numFmtId="166" fontId="11" fillId="0" borderId="2" applyAlignment="1" pivotButton="0" quotePrefix="0" xfId="0">
      <alignment horizontal="right" vertical="center" indent="1"/>
    </xf>
    <xf numFmtId="0" fontId="10" fillId="8" borderId="2" applyAlignment="1" pivotButton="0" quotePrefix="0" xfId="0">
      <alignment horizontal="center" vertical="center" wrapText="1"/>
    </xf>
    <xf numFmtId="164" fontId="10" fillId="8" borderId="2" applyAlignment="1" pivotButton="0" quotePrefix="0" xfId="0">
      <alignment horizontal="right" vertical="center" indent="1"/>
    </xf>
    <xf numFmtId="164" fontId="11" fillId="8" borderId="2" applyAlignment="1" pivotButton="0" quotePrefix="0" xfId="0">
      <alignment horizontal="right" vertical="center" indent="1"/>
    </xf>
    <xf numFmtId="166" fontId="11" fillId="8" borderId="2" applyAlignment="1" pivotButton="0" quotePrefix="0" xfId="0">
      <alignment horizontal="right" vertical="center" indent="1"/>
    </xf>
    <xf numFmtId="0" fontId="12" fillId="0" borderId="0" applyAlignment="1" pivotButton="0" quotePrefix="0" xfId="0">
      <alignment horizontal="center" vertical="center" wrapText="1"/>
    </xf>
    <xf numFmtId="164" fontId="13" fillId="4" borderId="0" applyAlignment="1" pivotButton="0" quotePrefix="0" xfId="0">
      <alignment horizontal="center" vertical="center" wrapText="1"/>
    </xf>
    <xf numFmtId="0" fontId="14" fillId="0" borderId="0" applyAlignment="1" pivotButton="0" quotePrefix="0" xfId="0">
      <alignment horizontal="center" vertical="center" wrapText="1"/>
    </xf>
    <xf numFmtId="164" fontId="15" fillId="9" borderId="0" applyAlignment="1" pivotButton="0" quotePrefix="0" xfId="0">
      <alignment horizontal="center" vertical="center" wrapText="1"/>
    </xf>
    <xf numFmtId="0" fontId="8" fillId="0" borderId="3" applyAlignment="1" pivotButton="0" quotePrefix="0" xfId="0">
      <alignment horizontal="left" vertical="center" wrapText="1" indent="1"/>
    </xf>
    <xf numFmtId="0" fontId="0" fillId="0" borderId="4" pivotButton="0" quotePrefix="0" xfId="0"/>
    <xf numFmtId="164" fontId="16" fillId="0" borderId="3" applyAlignment="1" pivotButton="0" quotePrefix="0" xfId="0">
      <alignment horizontal="right" vertical="center" indent="1"/>
    </xf>
    <xf numFmtId="166" fontId="16" fillId="0" borderId="3" applyAlignment="1" pivotButton="0" quotePrefix="0" xfId="0">
      <alignment horizontal="right" vertical="center" indent="1"/>
    </xf>
    <xf numFmtId="167" fontId="16" fillId="0" borderId="3" applyAlignment="1" pivotButton="0" quotePrefix="0" xfId="0">
      <alignment horizontal="right" vertical="center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'Calcolo'!B4</f>
            </strRef>
          </tx>
          <spPr>
            <a:ln>
              <a:prstDash val="solid"/>
            </a:ln>
          </spPr>
          <cat>
            <numRef>
              <f>'Calcolo'!$A$5:$A$54</f>
            </numRef>
          </cat>
          <val>
            <numRef>
              <f>'Calcolo'!$B$5:$B$54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Anno di rendita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Capitale residuo (€)</a:t>
                </a:r>
              </a:p>
            </rich>
          </tx>
        </title>
        <majorTickMark val="none"/>
        <minorTickMark val="none"/>
        <crossAx val="10"/>
      </valAx>
    </plotArea>
    <legend>
      <legendPos val="b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23</row>
      <rowOff>0</rowOff>
    </from>
    <ext cx="7920000" cy="396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42" customHeight="1">
      <c r="A1" s="1" t="inlineStr">
        <is>
          <t>Rendita mensile — quanto puoi prelevare</t>
        </is>
      </c>
    </row>
    <row r="2" ht="22" customHeight="1">
      <c r="A2" s="2" t="inlineStr">
        <is>
          <t>Didier Tommasi · Analista Finanziario Indipendente · didiertommasi.com</t>
        </is>
      </c>
    </row>
    <row r="3" ht="18" customHeight="1"/>
    <row r="4" ht="32" customHeight="1">
      <c r="A4" s="3" t="inlineStr">
        <is>
          <t>📌 In 30 secondi: 500.000€ NON ti danno 1.666€/m. Ti danno 2.243€/m. +47%.</t>
        </is>
      </c>
    </row>
    <row r="5" ht="8" customHeight="1"/>
    <row r="6">
      <c r="A6" s="4" t="inlineStr">
        <is>
          <t>I tool che dividono patrimonio per anni (€500k / 300 mesi = €1.666/m) sottostimano del 30-50%. Il capitale residuo continua a rendere mentre prelevi: con 50k iniz + 500€/m × 25y al 6%, raggiungi €548k → poi prelevi €2.243/m netti per 25 anni.
💡 Rendimenti in input = LORDI. Bollo 0,2% e 26% sulla plusvalenza inclusi nel calcolo. I risultati restano in € di oggi (real) se assumi rendimenti reali, in € nominali se nominali.</t>
        </is>
      </c>
    </row>
    <row r="7"/>
    <row r="8"/>
    <row r="9" ht="12" customHeight="1"/>
    <row r="10" ht="30" customHeight="1">
      <c r="A10" s="5" t="inlineStr">
        <is>
          <t>➊ Le formule applicate</t>
        </is>
      </c>
    </row>
    <row r="11">
      <c r="A11" s="6" t="inlineStr">
        <is>
          <t>Fase 1 — ACCUMULO (durata anni_accumulo):
  rate_mensile = (rendimento_accumulo − bollo 0,2%) / 12
  patrimonio = FV(rate_mensile, anni_accumulo*12, -PAC_mensile, -capitale_iniziale)
Fase 2 — DECUMULO (durata anni_rendita):
  rate_decumulo_mensile = (rendimento_rendita − bollo 0,2%) / 12
  rendita_lorda = PMT(rate_decumulo, anni_rendita*12, -patrimonio, 0)
  PMT = PV × r / (1 − (1+r)^-n)   ← annuity formula
Tassazione (26% sulla SOLA quota plusvalenza):
  gain_ratio = MAX(0, (patrimonio − versato_totale) / patrimonio)
  rendita_netta = rendita_lorda × (1 − 26% × gain_ratio)
Confronto educativo: divisione_piatta = patrimonio / mesi (sottostima la rendita
perché ignora il rendimento residuo durante il prelievo).</t>
        </is>
      </c>
    </row>
    <row r="12"/>
    <row r="13"/>
    <row r="14"/>
    <row r="15"/>
    <row r="16"/>
    <row r="17"/>
    <row r="18"/>
    <row r="19"/>
    <row r="20"/>
    <row r="21" ht="12" customHeight="1"/>
    <row r="22" ht="30" customHeight="1">
      <c r="A22" s="5" t="inlineStr">
        <is>
          <t>➋ Aspettativa di vita e margine di sicurezza</t>
        </is>
      </c>
    </row>
    <row r="23">
      <c r="A23" s="7" t="inlineStr">
        <is>
          <t>Aspettativa di vita residua a 67 anni in Italia (ISTAT 2024):
  · Uomini: ~18 anni
  · Donne: ~21 anni
Per margine sul 'longevity risk' (vivere più del previsto) considera 25-30 anni.
In pensione il portafoglio si sposta verso obbligazionario (+ liquidità di buffer
2-3 anni) per ridurre il sequence of returns risk: il rendimento atteso scende
tipicamente dal 6% (accumulo azionario puro) al 3-4% (decumulo bilanciato).</t>
        </is>
      </c>
    </row>
    <row r="24"/>
    <row r="25"/>
    <row r="26"/>
    <row r="27"/>
    <row r="28"/>
    <row r="29"/>
    <row r="30" ht="12" customHeight="1"/>
    <row r="31" ht="30" customHeight="1">
      <c r="A31" s="5" t="inlineStr">
        <is>
          <t>➌ Da numero a piano: i 3 step operativi</t>
        </is>
      </c>
    </row>
    <row r="32">
      <c r="A32" s="8" t="inlineStr">
        <is>
          <t>1. BUFFER LIQUIDITÀ 2-3 ANNI di spese in conto deposito o ETF monetario €STR. È l'antidoto al sequence-of-returns risk: se il mercato crolla -30% nell'anno 1 di rendita, NON vendi azionario in perdita — usi il buffer e aspetti il recupero.
2. RIBILANCIAMENTO ANNUALE — vendi solo dalla componente più cresciuta (regola Bogleheads). Mantieni l'asset allocation target costante. La disciplina batte il timing.
3. STRESS TEST -30% ANNO 1 — modifica il rendimento di rendita a 0% per i primi anni e verifica se il piano regge. Se il capitale finisce prima dei tuoi anni previsti, riduci il withdrawal rate dal 4% al 3,3% (Pedone-style italianizzato).</t>
        </is>
      </c>
    </row>
    <row r="33"/>
    <row r="34"/>
    <row r="35"/>
    <row r="36"/>
    <row r="37"/>
    <row r="38" ht="12" customHeight="1"/>
    <row r="39" ht="28" customHeight="1">
      <c r="A39" s="9" t="inlineStr">
        <is>
          <t>🌐  didiertommasi.com    📩  Newsletter settimanale    📊  Materiale educativo  ·  Non consulenza personalizzata</t>
        </is>
      </c>
    </row>
  </sheetData>
  <mergeCells count="11">
    <mergeCell ref="A23:F29"/>
    <mergeCell ref="A2:F2"/>
    <mergeCell ref="A10:F10"/>
    <mergeCell ref="A11:F20"/>
    <mergeCell ref="A6:F8"/>
    <mergeCell ref="A1:F1"/>
    <mergeCell ref="A32:F37"/>
    <mergeCell ref="A31:F31"/>
    <mergeCell ref="A22:F22"/>
    <mergeCell ref="A4:F4"/>
    <mergeCell ref="A39:F3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16" customWidth="1" min="2" max="2"/>
    <col width="70" customWidth="1" min="3" max="3"/>
  </cols>
  <sheetData>
    <row r="1" ht="42" customHeight="1">
      <c r="A1" s="1" t="inlineStr">
        <is>
          <t>📥  Input — i tuoi parametri</t>
        </is>
      </c>
    </row>
    <row r="2" ht="22" customHeight="1">
      <c r="A2" s="2" t="inlineStr">
        <is>
          <t>Modifica le celle gialle. 'Risultato' si aggiorna automaticamente.</t>
        </is>
      </c>
    </row>
    <row r="3" ht="18" customHeight="1"/>
    <row r="4" ht="28" customHeight="1">
      <c r="A4" s="10" t="inlineStr">
        <is>
          <t>Parametro</t>
        </is>
      </c>
      <c r="B4" s="10" t="inlineStr">
        <is>
          <t>Valore</t>
        </is>
      </c>
      <c r="C4" s="10" t="inlineStr">
        <is>
          <t>Note</t>
        </is>
      </c>
    </row>
    <row r="5" ht="30" customHeight="1">
      <c r="A5" s="11" t="inlineStr">
        <is>
          <t>Capitale già accumulato oggi</t>
        </is>
      </c>
      <c r="B5" s="12" t="n">
        <v>50000</v>
      </c>
      <c r="C5" s="13" t="inlineStr">
        <is>
          <t>€ — quanto hai oggi in ETF/fondi/conti deposito investibili</t>
        </is>
      </c>
    </row>
    <row r="6" ht="30" customHeight="1">
      <c r="A6" s="11" t="inlineStr">
        <is>
          <t>PAC mensile in accumulo</t>
        </is>
      </c>
      <c r="B6" s="12" t="n">
        <v>500</v>
      </c>
      <c r="C6" s="13" t="inlineStr">
        <is>
          <t>€/mese — quanto versi ogni mese fino a fine accumulo</t>
        </is>
      </c>
    </row>
    <row r="7" ht="30" customHeight="1">
      <c r="A7" s="11" t="inlineStr">
        <is>
          <t>Anni di accumulo</t>
        </is>
      </c>
      <c r="B7" s="14" t="n">
        <v>25</v>
      </c>
      <c r="C7" s="13" t="inlineStr">
        <is>
          <t>anni — fino a inizio pensione</t>
        </is>
      </c>
    </row>
    <row r="8" ht="30" customHeight="1">
      <c r="A8" s="11" t="inlineStr">
        <is>
          <t>Anni di rendita</t>
        </is>
      </c>
      <c r="B8" s="14" t="n">
        <v>25</v>
      </c>
      <c r="C8" s="13" t="inlineStr">
        <is>
          <t>anni — durata del prelievo. Aspettativa vita 67y: ~18-21y. Margine: 25-30y</t>
        </is>
      </c>
    </row>
    <row r="9" ht="30" customHeight="1">
      <c r="A9" s="11" t="inlineStr">
        <is>
          <t>Rendimento accumulo (lordo)</t>
        </is>
      </c>
      <c r="B9" s="15" t="n">
        <v>6</v>
      </c>
      <c r="C9" s="13" t="inlineStr">
        <is>
          <t>% annuo — azionario puro ~6-7%. TER e tasse incluse a parte</t>
        </is>
      </c>
    </row>
    <row r="10" ht="30" customHeight="1">
      <c r="A10" s="11" t="inlineStr">
        <is>
          <t>Rendimento rendita (lordo)</t>
        </is>
      </c>
      <c r="B10" s="15" t="n">
        <v>3.5</v>
      </c>
      <c r="C10" s="13" t="inlineStr">
        <is>
          <t>% annuo — bilanciato bond-heavy in pensione (3-4% reale)</t>
        </is>
      </c>
    </row>
    <row r="11" ht="16" customHeight="1"/>
    <row r="12" ht="30" customHeight="1">
      <c r="A12" s="5" t="inlineStr">
        <is>
          <t>🧮 Costanti normative</t>
        </is>
      </c>
    </row>
    <row r="13" ht="22" customHeight="1">
      <c r="A13" s="11" t="inlineStr">
        <is>
          <t>Capital gain tax</t>
        </is>
      </c>
      <c r="B13" s="16" t="n">
        <v>0.26</v>
      </c>
      <c r="C13" s="13" t="inlineStr">
        <is>
          <t>Plusvalenza ETF/fondi (art. 67 TUIR)</t>
        </is>
      </c>
    </row>
    <row r="14" ht="22" customHeight="1">
      <c r="A14" s="11" t="inlineStr">
        <is>
          <t>Bollo dossier annuo</t>
        </is>
      </c>
      <c r="B14" s="17" t="n">
        <v>0.002</v>
      </c>
      <c r="C14" s="13" t="inlineStr">
        <is>
          <t>D.L. 201/2011 art. 19, su giacenza media</t>
        </is>
      </c>
    </row>
  </sheetData>
  <mergeCells count="3">
    <mergeCell ref="A1:D1"/>
    <mergeCell ref="A12:D12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5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6" customWidth="1" min="1" max="1"/>
    <col width="24" customWidth="1" min="2" max="2"/>
    <col width="22" customWidth="1" min="3" max="3"/>
    <col width="16" customWidth="1" min="4" max="4"/>
  </cols>
  <sheetData>
    <row r="1" ht="42" customHeight="1">
      <c r="A1" s="1" t="inlineStr">
        <is>
          <t>🧮  Calcolo — capitale residuo durante il decumulo</t>
        </is>
      </c>
    </row>
    <row r="2" ht="22" customHeight="1">
      <c r="A2" s="2" t="inlineStr">
        <is>
          <t>Il patrimonio iniziale rendita continua a rendere mentre estrai.</t>
        </is>
      </c>
    </row>
    <row r="3" ht="12" customHeight="1"/>
    <row r="4" ht="32" customHeight="1">
      <c r="A4" s="10" t="inlineStr">
        <is>
          <t>Anno (rendita)</t>
        </is>
      </c>
      <c r="B4" s="10" t="inlineStr">
        <is>
          <t>Capitale residuo €</t>
        </is>
      </c>
      <c r="C4" s="10" t="inlineStr">
        <is>
          <t>Estratto cumulato €</t>
        </is>
      </c>
      <c r="D4" s="10" t="inlineStr">
        <is>
          <t>% rimanente</t>
        </is>
      </c>
    </row>
    <row r="5">
      <c r="A5" s="18" t="n">
        <v>1</v>
      </c>
      <c r="B5" s="19">
        <f>IF(1&gt;anni_rendita, 0, MAX(0, FV(((rate_dec_pct-0.2)/100/12), 1*12, (-PMT(((rate_dec_pct-0.2)/100/12), anni_rendita*12, -FV(((rate_acc_pct-0.2)/100/12), anni_accumulo*12, -pac_mensile, -capitale_iniziale), 0)), -FV(((rate_acc_pct-0.2)/100/12), anni_accumulo*12, -pac_mensile, -capitale_iniziale))))</f>
        <v/>
      </c>
      <c r="C5" s="20">
        <f>MIN(1,anni_rendita) * 12 * (-PMT(((rate_dec_pct-0.2)/100/12), anni_rendita*12, -FV(((rate_acc_pct-0.2)/100/12), anni_accumulo*12, -pac_mensile, -capitale_iniziale), 0))</f>
        <v/>
      </c>
      <c r="D5" s="21">
        <f>IF(FV(((rate_acc_pct-0.2)/100/12), anni_accumulo*12, -pac_mensile, -capitale_iniziale)=0, 0, B5/FV(((rate_acc_pct-0.2)/100/12), anni_accumulo*12, -pac_mensile, -capitale_iniziale))</f>
        <v/>
      </c>
    </row>
    <row r="6">
      <c r="A6" s="22" t="n">
        <v>2</v>
      </c>
      <c r="B6" s="23">
        <f>IF(2&gt;anni_rendita, 0, MAX(0, FV(((rate_dec_pct-0.2)/100/12), 2*12, (-PMT(((rate_dec_pct-0.2)/100/12), anni_rendita*12, -FV(((rate_acc_pct-0.2)/100/12), anni_accumulo*12, -pac_mensile, -capitale_iniziale), 0)), -FV(((rate_acc_pct-0.2)/100/12), anni_accumulo*12, -pac_mensile, -capitale_iniziale))))</f>
        <v/>
      </c>
      <c r="C6" s="24">
        <f>MIN(2,anni_rendita) * 12 * (-PMT(((rate_dec_pct-0.2)/100/12), anni_rendita*12, -FV(((rate_acc_pct-0.2)/100/12), anni_accumulo*12, -pac_mensile, -capitale_iniziale), 0))</f>
        <v/>
      </c>
      <c r="D6" s="25">
        <f>IF(FV(((rate_acc_pct-0.2)/100/12), anni_accumulo*12, -pac_mensile, -capitale_iniziale)=0, 0, B6/FV(((rate_acc_pct-0.2)/100/12), anni_accumulo*12, -pac_mensile, -capitale_iniziale))</f>
        <v/>
      </c>
    </row>
    <row r="7">
      <c r="A7" s="18" t="n">
        <v>3</v>
      </c>
      <c r="B7" s="19">
        <f>IF(3&gt;anni_rendita, 0, MAX(0, FV(((rate_dec_pct-0.2)/100/12), 3*12, (-PMT(((rate_dec_pct-0.2)/100/12), anni_rendita*12, -FV(((rate_acc_pct-0.2)/100/12), anni_accumulo*12, -pac_mensile, -capitale_iniziale), 0)), -FV(((rate_acc_pct-0.2)/100/12), anni_accumulo*12, -pac_mensile, -capitale_iniziale))))</f>
        <v/>
      </c>
      <c r="C7" s="20">
        <f>MIN(3,anni_rendita) * 12 * (-PMT(((rate_dec_pct-0.2)/100/12), anni_rendita*12, -FV(((rate_acc_pct-0.2)/100/12), anni_accumulo*12, -pac_mensile, -capitale_iniziale), 0))</f>
        <v/>
      </c>
      <c r="D7" s="21">
        <f>IF(FV(((rate_acc_pct-0.2)/100/12), anni_accumulo*12, -pac_mensile, -capitale_iniziale)=0, 0, B7/FV(((rate_acc_pct-0.2)/100/12), anni_accumulo*12, -pac_mensile, -capitale_iniziale))</f>
        <v/>
      </c>
    </row>
    <row r="8">
      <c r="A8" s="22" t="n">
        <v>4</v>
      </c>
      <c r="B8" s="23">
        <f>IF(4&gt;anni_rendita, 0, MAX(0, FV(((rate_dec_pct-0.2)/100/12), 4*12, (-PMT(((rate_dec_pct-0.2)/100/12), anni_rendita*12, -FV(((rate_acc_pct-0.2)/100/12), anni_accumulo*12, -pac_mensile, -capitale_iniziale), 0)), -FV(((rate_acc_pct-0.2)/100/12), anni_accumulo*12, -pac_mensile, -capitale_iniziale))))</f>
        <v/>
      </c>
      <c r="C8" s="24">
        <f>MIN(4,anni_rendita) * 12 * (-PMT(((rate_dec_pct-0.2)/100/12), anni_rendita*12, -FV(((rate_acc_pct-0.2)/100/12), anni_accumulo*12, -pac_mensile, -capitale_iniziale), 0))</f>
        <v/>
      </c>
      <c r="D8" s="25">
        <f>IF(FV(((rate_acc_pct-0.2)/100/12), anni_accumulo*12, -pac_mensile, -capitale_iniziale)=0, 0, B8/FV(((rate_acc_pct-0.2)/100/12), anni_accumulo*12, -pac_mensile, -capitale_iniziale))</f>
        <v/>
      </c>
    </row>
    <row r="9">
      <c r="A9" s="18" t="n">
        <v>5</v>
      </c>
      <c r="B9" s="19">
        <f>IF(5&gt;anni_rendita, 0, MAX(0, FV(((rate_dec_pct-0.2)/100/12), 5*12, (-PMT(((rate_dec_pct-0.2)/100/12), anni_rendita*12, -FV(((rate_acc_pct-0.2)/100/12), anni_accumulo*12, -pac_mensile, -capitale_iniziale), 0)), -FV(((rate_acc_pct-0.2)/100/12), anni_accumulo*12, -pac_mensile, -capitale_iniziale))))</f>
        <v/>
      </c>
      <c r="C9" s="20">
        <f>MIN(5,anni_rendita) * 12 * (-PMT(((rate_dec_pct-0.2)/100/12), anni_rendita*12, -FV(((rate_acc_pct-0.2)/100/12), anni_accumulo*12, -pac_mensile, -capitale_iniziale), 0))</f>
        <v/>
      </c>
      <c r="D9" s="21">
        <f>IF(FV(((rate_acc_pct-0.2)/100/12), anni_accumulo*12, -pac_mensile, -capitale_iniziale)=0, 0, B9/FV(((rate_acc_pct-0.2)/100/12), anni_accumulo*12, -pac_mensile, -capitale_iniziale))</f>
        <v/>
      </c>
    </row>
    <row r="10">
      <c r="A10" s="22" t="n">
        <v>6</v>
      </c>
      <c r="B10" s="23">
        <f>IF(6&gt;anni_rendita, 0, MAX(0, FV(((rate_dec_pct-0.2)/100/12), 6*12, (-PMT(((rate_dec_pct-0.2)/100/12), anni_rendita*12, -FV(((rate_acc_pct-0.2)/100/12), anni_accumulo*12, -pac_mensile, -capitale_iniziale), 0)), -FV(((rate_acc_pct-0.2)/100/12), anni_accumulo*12, -pac_mensile, -capitale_iniziale))))</f>
        <v/>
      </c>
      <c r="C10" s="24">
        <f>MIN(6,anni_rendita) * 12 * (-PMT(((rate_dec_pct-0.2)/100/12), anni_rendita*12, -FV(((rate_acc_pct-0.2)/100/12), anni_accumulo*12, -pac_mensile, -capitale_iniziale), 0))</f>
        <v/>
      </c>
      <c r="D10" s="25">
        <f>IF(FV(((rate_acc_pct-0.2)/100/12), anni_accumulo*12, -pac_mensile, -capitale_iniziale)=0, 0, B10/FV(((rate_acc_pct-0.2)/100/12), anni_accumulo*12, -pac_mensile, -capitale_iniziale))</f>
        <v/>
      </c>
    </row>
    <row r="11">
      <c r="A11" s="18" t="n">
        <v>7</v>
      </c>
      <c r="B11" s="19">
        <f>IF(7&gt;anni_rendita, 0, MAX(0, FV(((rate_dec_pct-0.2)/100/12), 7*12, (-PMT(((rate_dec_pct-0.2)/100/12), anni_rendita*12, -FV(((rate_acc_pct-0.2)/100/12), anni_accumulo*12, -pac_mensile, -capitale_iniziale), 0)), -FV(((rate_acc_pct-0.2)/100/12), anni_accumulo*12, -pac_mensile, -capitale_iniziale))))</f>
        <v/>
      </c>
      <c r="C11" s="20">
        <f>MIN(7,anni_rendita) * 12 * (-PMT(((rate_dec_pct-0.2)/100/12), anni_rendita*12, -FV(((rate_acc_pct-0.2)/100/12), anni_accumulo*12, -pac_mensile, -capitale_iniziale), 0))</f>
        <v/>
      </c>
      <c r="D11" s="21">
        <f>IF(FV(((rate_acc_pct-0.2)/100/12), anni_accumulo*12, -pac_mensile, -capitale_iniziale)=0, 0, B11/FV(((rate_acc_pct-0.2)/100/12), anni_accumulo*12, -pac_mensile, -capitale_iniziale))</f>
        <v/>
      </c>
    </row>
    <row r="12">
      <c r="A12" s="22" t="n">
        <v>8</v>
      </c>
      <c r="B12" s="23">
        <f>IF(8&gt;anni_rendita, 0, MAX(0, FV(((rate_dec_pct-0.2)/100/12), 8*12, (-PMT(((rate_dec_pct-0.2)/100/12), anni_rendita*12, -FV(((rate_acc_pct-0.2)/100/12), anni_accumulo*12, -pac_mensile, -capitale_iniziale), 0)), -FV(((rate_acc_pct-0.2)/100/12), anni_accumulo*12, -pac_mensile, -capitale_iniziale))))</f>
        <v/>
      </c>
      <c r="C12" s="24">
        <f>MIN(8,anni_rendita) * 12 * (-PMT(((rate_dec_pct-0.2)/100/12), anni_rendita*12, -FV(((rate_acc_pct-0.2)/100/12), anni_accumulo*12, -pac_mensile, -capitale_iniziale), 0))</f>
        <v/>
      </c>
      <c r="D12" s="25">
        <f>IF(FV(((rate_acc_pct-0.2)/100/12), anni_accumulo*12, -pac_mensile, -capitale_iniziale)=0, 0, B12/FV(((rate_acc_pct-0.2)/100/12), anni_accumulo*12, -pac_mensile, -capitale_iniziale))</f>
        <v/>
      </c>
    </row>
    <row r="13">
      <c r="A13" s="18" t="n">
        <v>9</v>
      </c>
      <c r="B13" s="19">
        <f>IF(9&gt;anni_rendita, 0, MAX(0, FV(((rate_dec_pct-0.2)/100/12), 9*12, (-PMT(((rate_dec_pct-0.2)/100/12), anni_rendita*12, -FV(((rate_acc_pct-0.2)/100/12), anni_accumulo*12, -pac_mensile, -capitale_iniziale), 0)), -FV(((rate_acc_pct-0.2)/100/12), anni_accumulo*12, -pac_mensile, -capitale_iniziale))))</f>
        <v/>
      </c>
      <c r="C13" s="20">
        <f>MIN(9,anni_rendita) * 12 * (-PMT(((rate_dec_pct-0.2)/100/12), anni_rendita*12, -FV(((rate_acc_pct-0.2)/100/12), anni_accumulo*12, -pac_mensile, -capitale_iniziale), 0))</f>
        <v/>
      </c>
      <c r="D13" s="21">
        <f>IF(FV(((rate_acc_pct-0.2)/100/12), anni_accumulo*12, -pac_mensile, -capitale_iniziale)=0, 0, B13/FV(((rate_acc_pct-0.2)/100/12), anni_accumulo*12, -pac_mensile, -capitale_iniziale))</f>
        <v/>
      </c>
    </row>
    <row r="14">
      <c r="A14" s="22" t="n">
        <v>10</v>
      </c>
      <c r="B14" s="23">
        <f>IF(10&gt;anni_rendita, 0, MAX(0, FV(((rate_dec_pct-0.2)/100/12), 10*12, (-PMT(((rate_dec_pct-0.2)/100/12), anni_rendita*12, -FV(((rate_acc_pct-0.2)/100/12), anni_accumulo*12, -pac_mensile, -capitale_iniziale), 0)), -FV(((rate_acc_pct-0.2)/100/12), anni_accumulo*12, -pac_mensile, -capitale_iniziale))))</f>
        <v/>
      </c>
      <c r="C14" s="24">
        <f>MIN(10,anni_rendita) * 12 * (-PMT(((rate_dec_pct-0.2)/100/12), anni_rendita*12, -FV(((rate_acc_pct-0.2)/100/12), anni_accumulo*12, -pac_mensile, -capitale_iniziale), 0))</f>
        <v/>
      </c>
      <c r="D14" s="25">
        <f>IF(FV(((rate_acc_pct-0.2)/100/12), anni_accumulo*12, -pac_mensile, -capitale_iniziale)=0, 0, B14/FV(((rate_acc_pct-0.2)/100/12), anni_accumulo*12, -pac_mensile, -capitale_iniziale))</f>
        <v/>
      </c>
    </row>
    <row r="15">
      <c r="A15" s="18" t="n">
        <v>11</v>
      </c>
      <c r="B15" s="19">
        <f>IF(11&gt;anni_rendita, 0, MAX(0, FV(((rate_dec_pct-0.2)/100/12), 11*12, (-PMT(((rate_dec_pct-0.2)/100/12), anni_rendita*12, -FV(((rate_acc_pct-0.2)/100/12), anni_accumulo*12, -pac_mensile, -capitale_iniziale), 0)), -FV(((rate_acc_pct-0.2)/100/12), anni_accumulo*12, -pac_mensile, -capitale_iniziale))))</f>
        <v/>
      </c>
      <c r="C15" s="20">
        <f>MIN(11,anni_rendita) * 12 * (-PMT(((rate_dec_pct-0.2)/100/12), anni_rendita*12, -FV(((rate_acc_pct-0.2)/100/12), anni_accumulo*12, -pac_mensile, -capitale_iniziale), 0))</f>
        <v/>
      </c>
      <c r="D15" s="21">
        <f>IF(FV(((rate_acc_pct-0.2)/100/12), anni_accumulo*12, -pac_mensile, -capitale_iniziale)=0, 0, B15/FV(((rate_acc_pct-0.2)/100/12), anni_accumulo*12, -pac_mensile, -capitale_iniziale))</f>
        <v/>
      </c>
    </row>
    <row r="16">
      <c r="A16" s="22" t="n">
        <v>12</v>
      </c>
      <c r="B16" s="23">
        <f>IF(12&gt;anni_rendita, 0, MAX(0, FV(((rate_dec_pct-0.2)/100/12), 12*12, (-PMT(((rate_dec_pct-0.2)/100/12), anni_rendita*12, -FV(((rate_acc_pct-0.2)/100/12), anni_accumulo*12, -pac_mensile, -capitale_iniziale), 0)), -FV(((rate_acc_pct-0.2)/100/12), anni_accumulo*12, -pac_mensile, -capitale_iniziale))))</f>
        <v/>
      </c>
      <c r="C16" s="24">
        <f>MIN(12,anni_rendita) * 12 * (-PMT(((rate_dec_pct-0.2)/100/12), anni_rendita*12, -FV(((rate_acc_pct-0.2)/100/12), anni_accumulo*12, -pac_mensile, -capitale_iniziale), 0))</f>
        <v/>
      </c>
      <c r="D16" s="25">
        <f>IF(FV(((rate_acc_pct-0.2)/100/12), anni_accumulo*12, -pac_mensile, -capitale_iniziale)=0, 0, B16/FV(((rate_acc_pct-0.2)/100/12), anni_accumulo*12, -pac_mensile, -capitale_iniziale))</f>
        <v/>
      </c>
    </row>
    <row r="17">
      <c r="A17" s="18" t="n">
        <v>13</v>
      </c>
      <c r="B17" s="19">
        <f>IF(13&gt;anni_rendita, 0, MAX(0, FV(((rate_dec_pct-0.2)/100/12), 13*12, (-PMT(((rate_dec_pct-0.2)/100/12), anni_rendita*12, -FV(((rate_acc_pct-0.2)/100/12), anni_accumulo*12, -pac_mensile, -capitale_iniziale), 0)), -FV(((rate_acc_pct-0.2)/100/12), anni_accumulo*12, -pac_mensile, -capitale_iniziale))))</f>
        <v/>
      </c>
      <c r="C17" s="20">
        <f>MIN(13,anni_rendita) * 12 * (-PMT(((rate_dec_pct-0.2)/100/12), anni_rendita*12, -FV(((rate_acc_pct-0.2)/100/12), anni_accumulo*12, -pac_mensile, -capitale_iniziale), 0))</f>
        <v/>
      </c>
      <c r="D17" s="21">
        <f>IF(FV(((rate_acc_pct-0.2)/100/12), anni_accumulo*12, -pac_mensile, -capitale_iniziale)=0, 0, B17/FV(((rate_acc_pct-0.2)/100/12), anni_accumulo*12, -pac_mensile, -capitale_iniziale))</f>
        <v/>
      </c>
    </row>
    <row r="18">
      <c r="A18" s="22" t="n">
        <v>14</v>
      </c>
      <c r="B18" s="23">
        <f>IF(14&gt;anni_rendita, 0, MAX(0, FV(((rate_dec_pct-0.2)/100/12), 14*12, (-PMT(((rate_dec_pct-0.2)/100/12), anni_rendita*12, -FV(((rate_acc_pct-0.2)/100/12), anni_accumulo*12, -pac_mensile, -capitale_iniziale), 0)), -FV(((rate_acc_pct-0.2)/100/12), anni_accumulo*12, -pac_mensile, -capitale_iniziale))))</f>
        <v/>
      </c>
      <c r="C18" s="24">
        <f>MIN(14,anni_rendita) * 12 * (-PMT(((rate_dec_pct-0.2)/100/12), anni_rendita*12, -FV(((rate_acc_pct-0.2)/100/12), anni_accumulo*12, -pac_mensile, -capitale_iniziale), 0))</f>
        <v/>
      </c>
      <c r="D18" s="25">
        <f>IF(FV(((rate_acc_pct-0.2)/100/12), anni_accumulo*12, -pac_mensile, -capitale_iniziale)=0, 0, B18/FV(((rate_acc_pct-0.2)/100/12), anni_accumulo*12, -pac_mensile, -capitale_iniziale))</f>
        <v/>
      </c>
    </row>
    <row r="19">
      <c r="A19" s="18" t="n">
        <v>15</v>
      </c>
      <c r="B19" s="19">
        <f>IF(15&gt;anni_rendita, 0, MAX(0, FV(((rate_dec_pct-0.2)/100/12), 15*12, (-PMT(((rate_dec_pct-0.2)/100/12), anni_rendita*12, -FV(((rate_acc_pct-0.2)/100/12), anni_accumulo*12, -pac_mensile, -capitale_iniziale), 0)), -FV(((rate_acc_pct-0.2)/100/12), anni_accumulo*12, -pac_mensile, -capitale_iniziale))))</f>
        <v/>
      </c>
      <c r="C19" s="20">
        <f>MIN(15,anni_rendita) * 12 * (-PMT(((rate_dec_pct-0.2)/100/12), anni_rendita*12, -FV(((rate_acc_pct-0.2)/100/12), anni_accumulo*12, -pac_mensile, -capitale_iniziale), 0))</f>
        <v/>
      </c>
      <c r="D19" s="21">
        <f>IF(FV(((rate_acc_pct-0.2)/100/12), anni_accumulo*12, -pac_mensile, -capitale_iniziale)=0, 0, B19/FV(((rate_acc_pct-0.2)/100/12), anni_accumulo*12, -pac_mensile, -capitale_iniziale))</f>
        <v/>
      </c>
    </row>
    <row r="20">
      <c r="A20" s="22" t="n">
        <v>16</v>
      </c>
      <c r="B20" s="23">
        <f>IF(16&gt;anni_rendita, 0, MAX(0, FV(((rate_dec_pct-0.2)/100/12), 16*12, (-PMT(((rate_dec_pct-0.2)/100/12), anni_rendita*12, -FV(((rate_acc_pct-0.2)/100/12), anni_accumulo*12, -pac_mensile, -capitale_iniziale), 0)), -FV(((rate_acc_pct-0.2)/100/12), anni_accumulo*12, -pac_mensile, -capitale_iniziale))))</f>
        <v/>
      </c>
      <c r="C20" s="24">
        <f>MIN(16,anni_rendita) * 12 * (-PMT(((rate_dec_pct-0.2)/100/12), anni_rendita*12, -FV(((rate_acc_pct-0.2)/100/12), anni_accumulo*12, -pac_mensile, -capitale_iniziale), 0))</f>
        <v/>
      </c>
      <c r="D20" s="25">
        <f>IF(FV(((rate_acc_pct-0.2)/100/12), anni_accumulo*12, -pac_mensile, -capitale_iniziale)=0, 0, B20/FV(((rate_acc_pct-0.2)/100/12), anni_accumulo*12, -pac_mensile, -capitale_iniziale))</f>
        <v/>
      </c>
    </row>
    <row r="21">
      <c r="A21" s="18" t="n">
        <v>17</v>
      </c>
      <c r="B21" s="19">
        <f>IF(17&gt;anni_rendita, 0, MAX(0, FV(((rate_dec_pct-0.2)/100/12), 17*12, (-PMT(((rate_dec_pct-0.2)/100/12), anni_rendita*12, -FV(((rate_acc_pct-0.2)/100/12), anni_accumulo*12, -pac_mensile, -capitale_iniziale), 0)), -FV(((rate_acc_pct-0.2)/100/12), anni_accumulo*12, -pac_mensile, -capitale_iniziale))))</f>
        <v/>
      </c>
      <c r="C21" s="20">
        <f>MIN(17,anni_rendita) * 12 * (-PMT(((rate_dec_pct-0.2)/100/12), anni_rendita*12, -FV(((rate_acc_pct-0.2)/100/12), anni_accumulo*12, -pac_mensile, -capitale_iniziale), 0))</f>
        <v/>
      </c>
      <c r="D21" s="21">
        <f>IF(FV(((rate_acc_pct-0.2)/100/12), anni_accumulo*12, -pac_mensile, -capitale_iniziale)=0, 0, B21/FV(((rate_acc_pct-0.2)/100/12), anni_accumulo*12, -pac_mensile, -capitale_iniziale))</f>
        <v/>
      </c>
    </row>
    <row r="22">
      <c r="A22" s="22" t="n">
        <v>18</v>
      </c>
      <c r="B22" s="23">
        <f>IF(18&gt;anni_rendita, 0, MAX(0, FV(((rate_dec_pct-0.2)/100/12), 18*12, (-PMT(((rate_dec_pct-0.2)/100/12), anni_rendita*12, -FV(((rate_acc_pct-0.2)/100/12), anni_accumulo*12, -pac_mensile, -capitale_iniziale), 0)), -FV(((rate_acc_pct-0.2)/100/12), anni_accumulo*12, -pac_mensile, -capitale_iniziale))))</f>
        <v/>
      </c>
      <c r="C22" s="24">
        <f>MIN(18,anni_rendita) * 12 * (-PMT(((rate_dec_pct-0.2)/100/12), anni_rendita*12, -FV(((rate_acc_pct-0.2)/100/12), anni_accumulo*12, -pac_mensile, -capitale_iniziale), 0))</f>
        <v/>
      </c>
      <c r="D22" s="25">
        <f>IF(FV(((rate_acc_pct-0.2)/100/12), anni_accumulo*12, -pac_mensile, -capitale_iniziale)=0, 0, B22/FV(((rate_acc_pct-0.2)/100/12), anni_accumulo*12, -pac_mensile, -capitale_iniziale))</f>
        <v/>
      </c>
    </row>
    <row r="23">
      <c r="A23" s="18" t="n">
        <v>19</v>
      </c>
      <c r="B23" s="19">
        <f>IF(19&gt;anni_rendita, 0, MAX(0, FV(((rate_dec_pct-0.2)/100/12), 19*12, (-PMT(((rate_dec_pct-0.2)/100/12), anni_rendita*12, -FV(((rate_acc_pct-0.2)/100/12), anni_accumulo*12, -pac_mensile, -capitale_iniziale), 0)), -FV(((rate_acc_pct-0.2)/100/12), anni_accumulo*12, -pac_mensile, -capitale_iniziale))))</f>
        <v/>
      </c>
      <c r="C23" s="20">
        <f>MIN(19,anni_rendita) * 12 * (-PMT(((rate_dec_pct-0.2)/100/12), anni_rendita*12, -FV(((rate_acc_pct-0.2)/100/12), anni_accumulo*12, -pac_mensile, -capitale_iniziale), 0))</f>
        <v/>
      </c>
      <c r="D23" s="21">
        <f>IF(FV(((rate_acc_pct-0.2)/100/12), anni_accumulo*12, -pac_mensile, -capitale_iniziale)=0, 0, B23/FV(((rate_acc_pct-0.2)/100/12), anni_accumulo*12, -pac_mensile, -capitale_iniziale))</f>
        <v/>
      </c>
    </row>
    <row r="24">
      <c r="A24" s="22" t="n">
        <v>20</v>
      </c>
      <c r="B24" s="23">
        <f>IF(20&gt;anni_rendita, 0, MAX(0, FV(((rate_dec_pct-0.2)/100/12), 20*12, (-PMT(((rate_dec_pct-0.2)/100/12), anni_rendita*12, -FV(((rate_acc_pct-0.2)/100/12), anni_accumulo*12, -pac_mensile, -capitale_iniziale), 0)), -FV(((rate_acc_pct-0.2)/100/12), anni_accumulo*12, -pac_mensile, -capitale_iniziale))))</f>
        <v/>
      </c>
      <c r="C24" s="24">
        <f>MIN(20,anni_rendita) * 12 * (-PMT(((rate_dec_pct-0.2)/100/12), anni_rendita*12, -FV(((rate_acc_pct-0.2)/100/12), anni_accumulo*12, -pac_mensile, -capitale_iniziale), 0))</f>
        <v/>
      </c>
      <c r="D24" s="25">
        <f>IF(FV(((rate_acc_pct-0.2)/100/12), anni_accumulo*12, -pac_mensile, -capitale_iniziale)=0, 0, B24/FV(((rate_acc_pct-0.2)/100/12), anni_accumulo*12, -pac_mensile, -capitale_iniziale))</f>
        <v/>
      </c>
    </row>
    <row r="25">
      <c r="A25" s="18" t="n">
        <v>21</v>
      </c>
      <c r="B25" s="19">
        <f>IF(21&gt;anni_rendita, 0, MAX(0, FV(((rate_dec_pct-0.2)/100/12), 21*12, (-PMT(((rate_dec_pct-0.2)/100/12), anni_rendita*12, -FV(((rate_acc_pct-0.2)/100/12), anni_accumulo*12, -pac_mensile, -capitale_iniziale), 0)), -FV(((rate_acc_pct-0.2)/100/12), anni_accumulo*12, -pac_mensile, -capitale_iniziale))))</f>
        <v/>
      </c>
      <c r="C25" s="20">
        <f>MIN(21,anni_rendita) * 12 * (-PMT(((rate_dec_pct-0.2)/100/12), anni_rendita*12, -FV(((rate_acc_pct-0.2)/100/12), anni_accumulo*12, -pac_mensile, -capitale_iniziale), 0))</f>
        <v/>
      </c>
      <c r="D25" s="21">
        <f>IF(FV(((rate_acc_pct-0.2)/100/12), anni_accumulo*12, -pac_mensile, -capitale_iniziale)=0, 0, B25/FV(((rate_acc_pct-0.2)/100/12), anni_accumulo*12, -pac_mensile, -capitale_iniziale))</f>
        <v/>
      </c>
    </row>
    <row r="26">
      <c r="A26" s="22" t="n">
        <v>22</v>
      </c>
      <c r="B26" s="23">
        <f>IF(22&gt;anni_rendita, 0, MAX(0, FV(((rate_dec_pct-0.2)/100/12), 22*12, (-PMT(((rate_dec_pct-0.2)/100/12), anni_rendita*12, -FV(((rate_acc_pct-0.2)/100/12), anni_accumulo*12, -pac_mensile, -capitale_iniziale), 0)), -FV(((rate_acc_pct-0.2)/100/12), anni_accumulo*12, -pac_mensile, -capitale_iniziale))))</f>
        <v/>
      </c>
      <c r="C26" s="24">
        <f>MIN(22,anni_rendita) * 12 * (-PMT(((rate_dec_pct-0.2)/100/12), anni_rendita*12, -FV(((rate_acc_pct-0.2)/100/12), anni_accumulo*12, -pac_mensile, -capitale_iniziale), 0))</f>
        <v/>
      </c>
      <c r="D26" s="25">
        <f>IF(FV(((rate_acc_pct-0.2)/100/12), anni_accumulo*12, -pac_mensile, -capitale_iniziale)=0, 0, B26/FV(((rate_acc_pct-0.2)/100/12), anni_accumulo*12, -pac_mensile, -capitale_iniziale))</f>
        <v/>
      </c>
    </row>
    <row r="27">
      <c r="A27" s="18" t="n">
        <v>23</v>
      </c>
      <c r="B27" s="19">
        <f>IF(23&gt;anni_rendita, 0, MAX(0, FV(((rate_dec_pct-0.2)/100/12), 23*12, (-PMT(((rate_dec_pct-0.2)/100/12), anni_rendita*12, -FV(((rate_acc_pct-0.2)/100/12), anni_accumulo*12, -pac_mensile, -capitale_iniziale), 0)), -FV(((rate_acc_pct-0.2)/100/12), anni_accumulo*12, -pac_mensile, -capitale_iniziale))))</f>
        <v/>
      </c>
      <c r="C27" s="20">
        <f>MIN(23,anni_rendita) * 12 * (-PMT(((rate_dec_pct-0.2)/100/12), anni_rendita*12, -FV(((rate_acc_pct-0.2)/100/12), anni_accumulo*12, -pac_mensile, -capitale_iniziale), 0))</f>
        <v/>
      </c>
      <c r="D27" s="21">
        <f>IF(FV(((rate_acc_pct-0.2)/100/12), anni_accumulo*12, -pac_mensile, -capitale_iniziale)=0, 0, B27/FV(((rate_acc_pct-0.2)/100/12), anni_accumulo*12, -pac_mensile, -capitale_iniziale))</f>
        <v/>
      </c>
    </row>
    <row r="28">
      <c r="A28" s="22" t="n">
        <v>24</v>
      </c>
      <c r="B28" s="23">
        <f>IF(24&gt;anni_rendita, 0, MAX(0, FV(((rate_dec_pct-0.2)/100/12), 24*12, (-PMT(((rate_dec_pct-0.2)/100/12), anni_rendita*12, -FV(((rate_acc_pct-0.2)/100/12), anni_accumulo*12, -pac_mensile, -capitale_iniziale), 0)), -FV(((rate_acc_pct-0.2)/100/12), anni_accumulo*12, -pac_mensile, -capitale_iniziale))))</f>
        <v/>
      </c>
      <c r="C28" s="24">
        <f>MIN(24,anni_rendita) * 12 * (-PMT(((rate_dec_pct-0.2)/100/12), anni_rendita*12, -FV(((rate_acc_pct-0.2)/100/12), anni_accumulo*12, -pac_mensile, -capitale_iniziale), 0))</f>
        <v/>
      </c>
      <c r="D28" s="25">
        <f>IF(FV(((rate_acc_pct-0.2)/100/12), anni_accumulo*12, -pac_mensile, -capitale_iniziale)=0, 0, B28/FV(((rate_acc_pct-0.2)/100/12), anni_accumulo*12, -pac_mensile, -capitale_iniziale))</f>
        <v/>
      </c>
    </row>
    <row r="29">
      <c r="A29" s="18" t="n">
        <v>25</v>
      </c>
      <c r="B29" s="19">
        <f>IF(25&gt;anni_rendita, 0, MAX(0, FV(((rate_dec_pct-0.2)/100/12), 25*12, (-PMT(((rate_dec_pct-0.2)/100/12), anni_rendita*12, -FV(((rate_acc_pct-0.2)/100/12), anni_accumulo*12, -pac_mensile, -capitale_iniziale), 0)), -FV(((rate_acc_pct-0.2)/100/12), anni_accumulo*12, -pac_mensile, -capitale_iniziale))))</f>
        <v/>
      </c>
      <c r="C29" s="20">
        <f>MIN(25,anni_rendita) * 12 * (-PMT(((rate_dec_pct-0.2)/100/12), anni_rendita*12, -FV(((rate_acc_pct-0.2)/100/12), anni_accumulo*12, -pac_mensile, -capitale_iniziale), 0))</f>
        <v/>
      </c>
      <c r="D29" s="21">
        <f>IF(FV(((rate_acc_pct-0.2)/100/12), anni_accumulo*12, -pac_mensile, -capitale_iniziale)=0, 0, B29/FV(((rate_acc_pct-0.2)/100/12), anni_accumulo*12, -pac_mensile, -capitale_iniziale))</f>
        <v/>
      </c>
    </row>
    <row r="30">
      <c r="A30" s="22" t="n">
        <v>26</v>
      </c>
      <c r="B30" s="23">
        <f>IF(26&gt;anni_rendita, 0, MAX(0, FV(((rate_dec_pct-0.2)/100/12), 26*12, (-PMT(((rate_dec_pct-0.2)/100/12), anni_rendita*12, -FV(((rate_acc_pct-0.2)/100/12), anni_accumulo*12, -pac_mensile, -capitale_iniziale), 0)), -FV(((rate_acc_pct-0.2)/100/12), anni_accumulo*12, -pac_mensile, -capitale_iniziale))))</f>
        <v/>
      </c>
      <c r="C30" s="24">
        <f>MIN(26,anni_rendita) * 12 * (-PMT(((rate_dec_pct-0.2)/100/12), anni_rendita*12, -FV(((rate_acc_pct-0.2)/100/12), anni_accumulo*12, -pac_mensile, -capitale_iniziale), 0))</f>
        <v/>
      </c>
      <c r="D30" s="25">
        <f>IF(FV(((rate_acc_pct-0.2)/100/12), anni_accumulo*12, -pac_mensile, -capitale_iniziale)=0, 0, B30/FV(((rate_acc_pct-0.2)/100/12), anni_accumulo*12, -pac_mensile, -capitale_iniziale))</f>
        <v/>
      </c>
    </row>
    <row r="31">
      <c r="A31" s="18" t="n">
        <v>27</v>
      </c>
      <c r="B31" s="19">
        <f>IF(27&gt;anni_rendita, 0, MAX(0, FV(((rate_dec_pct-0.2)/100/12), 27*12, (-PMT(((rate_dec_pct-0.2)/100/12), anni_rendita*12, -FV(((rate_acc_pct-0.2)/100/12), anni_accumulo*12, -pac_mensile, -capitale_iniziale), 0)), -FV(((rate_acc_pct-0.2)/100/12), anni_accumulo*12, -pac_mensile, -capitale_iniziale))))</f>
        <v/>
      </c>
      <c r="C31" s="20">
        <f>MIN(27,anni_rendita) * 12 * (-PMT(((rate_dec_pct-0.2)/100/12), anni_rendita*12, -FV(((rate_acc_pct-0.2)/100/12), anni_accumulo*12, -pac_mensile, -capitale_iniziale), 0))</f>
        <v/>
      </c>
      <c r="D31" s="21">
        <f>IF(FV(((rate_acc_pct-0.2)/100/12), anni_accumulo*12, -pac_mensile, -capitale_iniziale)=0, 0, B31/FV(((rate_acc_pct-0.2)/100/12), anni_accumulo*12, -pac_mensile, -capitale_iniziale))</f>
        <v/>
      </c>
    </row>
    <row r="32">
      <c r="A32" s="22" t="n">
        <v>28</v>
      </c>
      <c r="B32" s="23">
        <f>IF(28&gt;anni_rendita, 0, MAX(0, FV(((rate_dec_pct-0.2)/100/12), 28*12, (-PMT(((rate_dec_pct-0.2)/100/12), anni_rendita*12, -FV(((rate_acc_pct-0.2)/100/12), anni_accumulo*12, -pac_mensile, -capitale_iniziale), 0)), -FV(((rate_acc_pct-0.2)/100/12), anni_accumulo*12, -pac_mensile, -capitale_iniziale))))</f>
        <v/>
      </c>
      <c r="C32" s="24">
        <f>MIN(28,anni_rendita) * 12 * (-PMT(((rate_dec_pct-0.2)/100/12), anni_rendita*12, -FV(((rate_acc_pct-0.2)/100/12), anni_accumulo*12, -pac_mensile, -capitale_iniziale), 0))</f>
        <v/>
      </c>
      <c r="D32" s="25">
        <f>IF(FV(((rate_acc_pct-0.2)/100/12), anni_accumulo*12, -pac_mensile, -capitale_iniziale)=0, 0, B32/FV(((rate_acc_pct-0.2)/100/12), anni_accumulo*12, -pac_mensile, -capitale_iniziale))</f>
        <v/>
      </c>
    </row>
    <row r="33">
      <c r="A33" s="18" t="n">
        <v>29</v>
      </c>
      <c r="B33" s="19">
        <f>IF(29&gt;anni_rendita, 0, MAX(0, FV(((rate_dec_pct-0.2)/100/12), 29*12, (-PMT(((rate_dec_pct-0.2)/100/12), anni_rendita*12, -FV(((rate_acc_pct-0.2)/100/12), anni_accumulo*12, -pac_mensile, -capitale_iniziale), 0)), -FV(((rate_acc_pct-0.2)/100/12), anni_accumulo*12, -pac_mensile, -capitale_iniziale))))</f>
        <v/>
      </c>
      <c r="C33" s="20">
        <f>MIN(29,anni_rendita) * 12 * (-PMT(((rate_dec_pct-0.2)/100/12), anni_rendita*12, -FV(((rate_acc_pct-0.2)/100/12), anni_accumulo*12, -pac_mensile, -capitale_iniziale), 0))</f>
        <v/>
      </c>
      <c r="D33" s="21">
        <f>IF(FV(((rate_acc_pct-0.2)/100/12), anni_accumulo*12, -pac_mensile, -capitale_iniziale)=0, 0, B33/FV(((rate_acc_pct-0.2)/100/12), anni_accumulo*12, -pac_mensile, -capitale_iniziale))</f>
        <v/>
      </c>
    </row>
    <row r="34">
      <c r="A34" s="22" t="n">
        <v>30</v>
      </c>
      <c r="B34" s="23">
        <f>IF(30&gt;anni_rendita, 0, MAX(0, FV(((rate_dec_pct-0.2)/100/12), 30*12, (-PMT(((rate_dec_pct-0.2)/100/12), anni_rendita*12, -FV(((rate_acc_pct-0.2)/100/12), anni_accumulo*12, -pac_mensile, -capitale_iniziale), 0)), -FV(((rate_acc_pct-0.2)/100/12), anni_accumulo*12, -pac_mensile, -capitale_iniziale))))</f>
        <v/>
      </c>
      <c r="C34" s="24">
        <f>MIN(30,anni_rendita) * 12 * (-PMT(((rate_dec_pct-0.2)/100/12), anni_rendita*12, -FV(((rate_acc_pct-0.2)/100/12), anni_accumulo*12, -pac_mensile, -capitale_iniziale), 0))</f>
        <v/>
      </c>
      <c r="D34" s="25">
        <f>IF(FV(((rate_acc_pct-0.2)/100/12), anni_accumulo*12, -pac_mensile, -capitale_iniziale)=0, 0, B34/FV(((rate_acc_pct-0.2)/100/12), anni_accumulo*12, -pac_mensile, -capitale_iniziale))</f>
        <v/>
      </c>
    </row>
    <row r="35">
      <c r="A35" s="18" t="n">
        <v>31</v>
      </c>
      <c r="B35" s="19">
        <f>IF(31&gt;anni_rendita, 0, MAX(0, FV(((rate_dec_pct-0.2)/100/12), 31*12, (-PMT(((rate_dec_pct-0.2)/100/12), anni_rendita*12, -FV(((rate_acc_pct-0.2)/100/12), anni_accumulo*12, -pac_mensile, -capitale_iniziale), 0)), -FV(((rate_acc_pct-0.2)/100/12), anni_accumulo*12, -pac_mensile, -capitale_iniziale))))</f>
        <v/>
      </c>
      <c r="C35" s="20">
        <f>MIN(31,anni_rendita) * 12 * (-PMT(((rate_dec_pct-0.2)/100/12), anni_rendita*12, -FV(((rate_acc_pct-0.2)/100/12), anni_accumulo*12, -pac_mensile, -capitale_iniziale), 0))</f>
        <v/>
      </c>
      <c r="D35" s="21">
        <f>IF(FV(((rate_acc_pct-0.2)/100/12), anni_accumulo*12, -pac_mensile, -capitale_iniziale)=0, 0, B35/FV(((rate_acc_pct-0.2)/100/12), anni_accumulo*12, -pac_mensile, -capitale_iniziale))</f>
        <v/>
      </c>
    </row>
    <row r="36">
      <c r="A36" s="22" t="n">
        <v>32</v>
      </c>
      <c r="B36" s="23">
        <f>IF(32&gt;anni_rendita, 0, MAX(0, FV(((rate_dec_pct-0.2)/100/12), 32*12, (-PMT(((rate_dec_pct-0.2)/100/12), anni_rendita*12, -FV(((rate_acc_pct-0.2)/100/12), anni_accumulo*12, -pac_mensile, -capitale_iniziale), 0)), -FV(((rate_acc_pct-0.2)/100/12), anni_accumulo*12, -pac_mensile, -capitale_iniziale))))</f>
        <v/>
      </c>
      <c r="C36" s="24">
        <f>MIN(32,anni_rendita) * 12 * (-PMT(((rate_dec_pct-0.2)/100/12), anni_rendita*12, -FV(((rate_acc_pct-0.2)/100/12), anni_accumulo*12, -pac_mensile, -capitale_iniziale), 0))</f>
        <v/>
      </c>
      <c r="D36" s="25">
        <f>IF(FV(((rate_acc_pct-0.2)/100/12), anni_accumulo*12, -pac_mensile, -capitale_iniziale)=0, 0, B36/FV(((rate_acc_pct-0.2)/100/12), anni_accumulo*12, -pac_mensile, -capitale_iniziale))</f>
        <v/>
      </c>
    </row>
    <row r="37">
      <c r="A37" s="18" t="n">
        <v>33</v>
      </c>
      <c r="B37" s="19">
        <f>IF(33&gt;anni_rendita, 0, MAX(0, FV(((rate_dec_pct-0.2)/100/12), 33*12, (-PMT(((rate_dec_pct-0.2)/100/12), anni_rendita*12, -FV(((rate_acc_pct-0.2)/100/12), anni_accumulo*12, -pac_mensile, -capitale_iniziale), 0)), -FV(((rate_acc_pct-0.2)/100/12), anni_accumulo*12, -pac_mensile, -capitale_iniziale))))</f>
        <v/>
      </c>
      <c r="C37" s="20">
        <f>MIN(33,anni_rendita) * 12 * (-PMT(((rate_dec_pct-0.2)/100/12), anni_rendita*12, -FV(((rate_acc_pct-0.2)/100/12), anni_accumulo*12, -pac_mensile, -capitale_iniziale), 0))</f>
        <v/>
      </c>
      <c r="D37" s="21">
        <f>IF(FV(((rate_acc_pct-0.2)/100/12), anni_accumulo*12, -pac_mensile, -capitale_iniziale)=0, 0, B37/FV(((rate_acc_pct-0.2)/100/12), anni_accumulo*12, -pac_mensile, -capitale_iniziale))</f>
        <v/>
      </c>
    </row>
    <row r="38">
      <c r="A38" s="22" t="n">
        <v>34</v>
      </c>
      <c r="B38" s="23">
        <f>IF(34&gt;anni_rendita, 0, MAX(0, FV(((rate_dec_pct-0.2)/100/12), 34*12, (-PMT(((rate_dec_pct-0.2)/100/12), anni_rendita*12, -FV(((rate_acc_pct-0.2)/100/12), anni_accumulo*12, -pac_mensile, -capitale_iniziale), 0)), -FV(((rate_acc_pct-0.2)/100/12), anni_accumulo*12, -pac_mensile, -capitale_iniziale))))</f>
        <v/>
      </c>
      <c r="C38" s="24">
        <f>MIN(34,anni_rendita) * 12 * (-PMT(((rate_dec_pct-0.2)/100/12), anni_rendita*12, -FV(((rate_acc_pct-0.2)/100/12), anni_accumulo*12, -pac_mensile, -capitale_iniziale), 0))</f>
        <v/>
      </c>
      <c r="D38" s="25">
        <f>IF(FV(((rate_acc_pct-0.2)/100/12), anni_accumulo*12, -pac_mensile, -capitale_iniziale)=0, 0, B38/FV(((rate_acc_pct-0.2)/100/12), anni_accumulo*12, -pac_mensile, -capitale_iniziale))</f>
        <v/>
      </c>
    </row>
    <row r="39">
      <c r="A39" s="18" t="n">
        <v>35</v>
      </c>
      <c r="B39" s="19">
        <f>IF(35&gt;anni_rendita, 0, MAX(0, FV(((rate_dec_pct-0.2)/100/12), 35*12, (-PMT(((rate_dec_pct-0.2)/100/12), anni_rendita*12, -FV(((rate_acc_pct-0.2)/100/12), anni_accumulo*12, -pac_mensile, -capitale_iniziale), 0)), -FV(((rate_acc_pct-0.2)/100/12), anni_accumulo*12, -pac_mensile, -capitale_iniziale))))</f>
        <v/>
      </c>
      <c r="C39" s="20">
        <f>MIN(35,anni_rendita) * 12 * (-PMT(((rate_dec_pct-0.2)/100/12), anni_rendita*12, -FV(((rate_acc_pct-0.2)/100/12), anni_accumulo*12, -pac_mensile, -capitale_iniziale), 0))</f>
        <v/>
      </c>
      <c r="D39" s="21">
        <f>IF(FV(((rate_acc_pct-0.2)/100/12), anni_accumulo*12, -pac_mensile, -capitale_iniziale)=0, 0, B39/FV(((rate_acc_pct-0.2)/100/12), anni_accumulo*12, -pac_mensile, -capitale_iniziale))</f>
        <v/>
      </c>
    </row>
    <row r="40">
      <c r="A40" s="22" t="n">
        <v>36</v>
      </c>
      <c r="B40" s="23">
        <f>IF(36&gt;anni_rendita, 0, MAX(0, FV(((rate_dec_pct-0.2)/100/12), 36*12, (-PMT(((rate_dec_pct-0.2)/100/12), anni_rendita*12, -FV(((rate_acc_pct-0.2)/100/12), anni_accumulo*12, -pac_mensile, -capitale_iniziale), 0)), -FV(((rate_acc_pct-0.2)/100/12), anni_accumulo*12, -pac_mensile, -capitale_iniziale))))</f>
        <v/>
      </c>
      <c r="C40" s="24">
        <f>MIN(36,anni_rendita) * 12 * (-PMT(((rate_dec_pct-0.2)/100/12), anni_rendita*12, -FV(((rate_acc_pct-0.2)/100/12), anni_accumulo*12, -pac_mensile, -capitale_iniziale), 0))</f>
        <v/>
      </c>
      <c r="D40" s="25">
        <f>IF(FV(((rate_acc_pct-0.2)/100/12), anni_accumulo*12, -pac_mensile, -capitale_iniziale)=0, 0, B40/FV(((rate_acc_pct-0.2)/100/12), anni_accumulo*12, -pac_mensile, -capitale_iniziale))</f>
        <v/>
      </c>
    </row>
    <row r="41">
      <c r="A41" s="18" t="n">
        <v>37</v>
      </c>
      <c r="B41" s="19">
        <f>IF(37&gt;anni_rendita, 0, MAX(0, FV(((rate_dec_pct-0.2)/100/12), 37*12, (-PMT(((rate_dec_pct-0.2)/100/12), anni_rendita*12, -FV(((rate_acc_pct-0.2)/100/12), anni_accumulo*12, -pac_mensile, -capitale_iniziale), 0)), -FV(((rate_acc_pct-0.2)/100/12), anni_accumulo*12, -pac_mensile, -capitale_iniziale))))</f>
        <v/>
      </c>
      <c r="C41" s="20">
        <f>MIN(37,anni_rendita) * 12 * (-PMT(((rate_dec_pct-0.2)/100/12), anni_rendita*12, -FV(((rate_acc_pct-0.2)/100/12), anni_accumulo*12, -pac_mensile, -capitale_iniziale), 0))</f>
        <v/>
      </c>
      <c r="D41" s="21">
        <f>IF(FV(((rate_acc_pct-0.2)/100/12), anni_accumulo*12, -pac_mensile, -capitale_iniziale)=0, 0, B41/FV(((rate_acc_pct-0.2)/100/12), anni_accumulo*12, -pac_mensile, -capitale_iniziale))</f>
        <v/>
      </c>
    </row>
    <row r="42">
      <c r="A42" s="22" t="n">
        <v>38</v>
      </c>
      <c r="B42" s="23">
        <f>IF(38&gt;anni_rendita, 0, MAX(0, FV(((rate_dec_pct-0.2)/100/12), 38*12, (-PMT(((rate_dec_pct-0.2)/100/12), anni_rendita*12, -FV(((rate_acc_pct-0.2)/100/12), anni_accumulo*12, -pac_mensile, -capitale_iniziale), 0)), -FV(((rate_acc_pct-0.2)/100/12), anni_accumulo*12, -pac_mensile, -capitale_iniziale))))</f>
        <v/>
      </c>
      <c r="C42" s="24">
        <f>MIN(38,anni_rendita) * 12 * (-PMT(((rate_dec_pct-0.2)/100/12), anni_rendita*12, -FV(((rate_acc_pct-0.2)/100/12), anni_accumulo*12, -pac_mensile, -capitale_iniziale), 0))</f>
        <v/>
      </c>
      <c r="D42" s="25">
        <f>IF(FV(((rate_acc_pct-0.2)/100/12), anni_accumulo*12, -pac_mensile, -capitale_iniziale)=0, 0, B42/FV(((rate_acc_pct-0.2)/100/12), anni_accumulo*12, -pac_mensile, -capitale_iniziale))</f>
        <v/>
      </c>
    </row>
    <row r="43">
      <c r="A43" s="18" t="n">
        <v>39</v>
      </c>
      <c r="B43" s="19">
        <f>IF(39&gt;anni_rendita, 0, MAX(0, FV(((rate_dec_pct-0.2)/100/12), 39*12, (-PMT(((rate_dec_pct-0.2)/100/12), anni_rendita*12, -FV(((rate_acc_pct-0.2)/100/12), anni_accumulo*12, -pac_mensile, -capitale_iniziale), 0)), -FV(((rate_acc_pct-0.2)/100/12), anni_accumulo*12, -pac_mensile, -capitale_iniziale))))</f>
        <v/>
      </c>
      <c r="C43" s="20">
        <f>MIN(39,anni_rendita) * 12 * (-PMT(((rate_dec_pct-0.2)/100/12), anni_rendita*12, -FV(((rate_acc_pct-0.2)/100/12), anni_accumulo*12, -pac_mensile, -capitale_iniziale), 0))</f>
        <v/>
      </c>
      <c r="D43" s="21">
        <f>IF(FV(((rate_acc_pct-0.2)/100/12), anni_accumulo*12, -pac_mensile, -capitale_iniziale)=0, 0, B43/FV(((rate_acc_pct-0.2)/100/12), anni_accumulo*12, -pac_mensile, -capitale_iniziale))</f>
        <v/>
      </c>
    </row>
    <row r="44">
      <c r="A44" s="22" t="n">
        <v>40</v>
      </c>
      <c r="B44" s="23">
        <f>IF(40&gt;anni_rendita, 0, MAX(0, FV(((rate_dec_pct-0.2)/100/12), 40*12, (-PMT(((rate_dec_pct-0.2)/100/12), anni_rendita*12, -FV(((rate_acc_pct-0.2)/100/12), anni_accumulo*12, -pac_mensile, -capitale_iniziale), 0)), -FV(((rate_acc_pct-0.2)/100/12), anni_accumulo*12, -pac_mensile, -capitale_iniziale))))</f>
        <v/>
      </c>
      <c r="C44" s="24">
        <f>MIN(40,anni_rendita) * 12 * (-PMT(((rate_dec_pct-0.2)/100/12), anni_rendita*12, -FV(((rate_acc_pct-0.2)/100/12), anni_accumulo*12, -pac_mensile, -capitale_iniziale), 0))</f>
        <v/>
      </c>
      <c r="D44" s="25">
        <f>IF(FV(((rate_acc_pct-0.2)/100/12), anni_accumulo*12, -pac_mensile, -capitale_iniziale)=0, 0, B44/FV(((rate_acc_pct-0.2)/100/12), anni_accumulo*12, -pac_mensile, -capitale_iniziale))</f>
        <v/>
      </c>
    </row>
    <row r="45">
      <c r="A45" s="18" t="n">
        <v>41</v>
      </c>
      <c r="B45" s="19">
        <f>IF(41&gt;anni_rendita, 0, MAX(0, FV(((rate_dec_pct-0.2)/100/12), 41*12, (-PMT(((rate_dec_pct-0.2)/100/12), anni_rendita*12, -FV(((rate_acc_pct-0.2)/100/12), anni_accumulo*12, -pac_mensile, -capitale_iniziale), 0)), -FV(((rate_acc_pct-0.2)/100/12), anni_accumulo*12, -pac_mensile, -capitale_iniziale))))</f>
        <v/>
      </c>
      <c r="C45" s="20">
        <f>MIN(41,anni_rendita) * 12 * (-PMT(((rate_dec_pct-0.2)/100/12), anni_rendita*12, -FV(((rate_acc_pct-0.2)/100/12), anni_accumulo*12, -pac_mensile, -capitale_iniziale), 0))</f>
        <v/>
      </c>
      <c r="D45" s="21">
        <f>IF(FV(((rate_acc_pct-0.2)/100/12), anni_accumulo*12, -pac_mensile, -capitale_iniziale)=0, 0, B45/FV(((rate_acc_pct-0.2)/100/12), anni_accumulo*12, -pac_mensile, -capitale_iniziale))</f>
        <v/>
      </c>
    </row>
    <row r="46">
      <c r="A46" s="22" t="n">
        <v>42</v>
      </c>
      <c r="B46" s="23">
        <f>IF(42&gt;anni_rendita, 0, MAX(0, FV(((rate_dec_pct-0.2)/100/12), 42*12, (-PMT(((rate_dec_pct-0.2)/100/12), anni_rendita*12, -FV(((rate_acc_pct-0.2)/100/12), anni_accumulo*12, -pac_mensile, -capitale_iniziale), 0)), -FV(((rate_acc_pct-0.2)/100/12), anni_accumulo*12, -pac_mensile, -capitale_iniziale))))</f>
        <v/>
      </c>
      <c r="C46" s="24">
        <f>MIN(42,anni_rendita) * 12 * (-PMT(((rate_dec_pct-0.2)/100/12), anni_rendita*12, -FV(((rate_acc_pct-0.2)/100/12), anni_accumulo*12, -pac_mensile, -capitale_iniziale), 0))</f>
        <v/>
      </c>
      <c r="D46" s="25">
        <f>IF(FV(((rate_acc_pct-0.2)/100/12), anni_accumulo*12, -pac_mensile, -capitale_iniziale)=0, 0, B46/FV(((rate_acc_pct-0.2)/100/12), anni_accumulo*12, -pac_mensile, -capitale_iniziale))</f>
        <v/>
      </c>
    </row>
    <row r="47">
      <c r="A47" s="18" t="n">
        <v>43</v>
      </c>
      <c r="B47" s="19">
        <f>IF(43&gt;anni_rendita, 0, MAX(0, FV(((rate_dec_pct-0.2)/100/12), 43*12, (-PMT(((rate_dec_pct-0.2)/100/12), anni_rendita*12, -FV(((rate_acc_pct-0.2)/100/12), anni_accumulo*12, -pac_mensile, -capitale_iniziale), 0)), -FV(((rate_acc_pct-0.2)/100/12), anni_accumulo*12, -pac_mensile, -capitale_iniziale))))</f>
        <v/>
      </c>
      <c r="C47" s="20">
        <f>MIN(43,anni_rendita) * 12 * (-PMT(((rate_dec_pct-0.2)/100/12), anni_rendita*12, -FV(((rate_acc_pct-0.2)/100/12), anni_accumulo*12, -pac_mensile, -capitale_iniziale), 0))</f>
        <v/>
      </c>
      <c r="D47" s="21">
        <f>IF(FV(((rate_acc_pct-0.2)/100/12), anni_accumulo*12, -pac_mensile, -capitale_iniziale)=0, 0, B47/FV(((rate_acc_pct-0.2)/100/12), anni_accumulo*12, -pac_mensile, -capitale_iniziale))</f>
        <v/>
      </c>
    </row>
    <row r="48">
      <c r="A48" s="22" t="n">
        <v>44</v>
      </c>
      <c r="B48" s="23">
        <f>IF(44&gt;anni_rendita, 0, MAX(0, FV(((rate_dec_pct-0.2)/100/12), 44*12, (-PMT(((rate_dec_pct-0.2)/100/12), anni_rendita*12, -FV(((rate_acc_pct-0.2)/100/12), anni_accumulo*12, -pac_mensile, -capitale_iniziale), 0)), -FV(((rate_acc_pct-0.2)/100/12), anni_accumulo*12, -pac_mensile, -capitale_iniziale))))</f>
        <v/>
      </c>
      <c r="C48" s="24">
        <f>MIN(44,anni_rendita) * 12 * (-PMT(((rate_dec_pct-0.2)/100/12), anni_rendita*12, -FV(((rate_acc_pct-0.2)/100/12), anni_accumulo*12, -pac_mensile, -capitale_iniziale), 0))</f>
        <v/>
      </c>
      <c r="D48" s="25">
        <f>IF(FV(((rate_acc_pct-0.2)/100/12), anni_accumulo*12, -pac_mensile, -capitale_iniziale)=0, 0, B48/FV(((rate_acc_pct-0.2)/100/12), anni_accumulo*12, -pac_mensile, -capitale_iniziale))</f>
        <v/>
      </c>
    </row>
    <row r="49">
      <c r="A49" s="18" t="n">
        <v>45</v>
      </c>
      <c r="B49" s="19">
        <f>IF(45&gt;anni_rendita, 0, MAX(0, FV(((rate_dec_pct-0.2)/100/12), 45*12, (-PMT(((rate_dec_pct-0.2)/100/12), anni_rendita*12, -FV(((rate_acc_pct-0.2)/100/12), anni_accumulo*12, -pac_mensile, -capitale_iniziale), 0)), -FV(((rate_acc_pct-0.2)/100/12), anni_accumulo*12, -pac_mensile, -capitale_iniziale))))</f>
        <v/>
      </c>
      <c r="C49" s="20">
        <f>MIN(45,anni_rendita) * 12 * (-PMT(((rate_dec_pct-0.2)/100/12), anni_rendita*12, -FV(((rate_acc_pct-0.2)/100/12), anni_accumulo*12, -pac_mensile, -capitale_iniziale), 0))</f>
        <v/>
      </c>
      <c r="D49" s="21">
        <f>IF(FV(((rate_acc_pct-0.2)/100/12), anni_accumulo*12, -pac_mensile, -capitale_iniziale)=0, 0, B49/FV(((rate_acc_pct-0.2)/100/12), anni_accumulo*12, -pac_mensile, -capitale_iniziale))</f>
        <v/>
      </c>
    </row>
    <row r="50">
      <c r="A50" s="22" t="n">
        <v>46</v>
      </c>
      <c r="B50" s="23">
        <f>IF(46&gt;anni_rendita, 0, MAX(0, FV(((rate_dec_pct-0.2)/100/12), 46*12, (-PMT(((rate_dec_pct-0.2)/100/12), anni_rendita*12, -FV(((rate_acc_pct-0.2)/100/12), anni_accumulo*12, -pac_mensile, -capitale_iniziale), 0)), -FV(((rate_acc_pct-0.2)/100/12), anni_accumulo*12, -pac_mensile, -capitale_iniziale))))</f>
        <v/>
      </c>
      <c r="C50" s="24">
        <f>MIN(46,anni_rendita) * 12 * (-PMT(((rate_dec_pct-0.2)/100/12), anni_rendita*12, -FV(((rate_acc_pct-0.2)/100/12), anni_accumulo*12, -pac_mensile, -capitale_iniziale), 0))</f>
        <v/>
      </c>
      <c r="D50" s="25">
        <f>IF(FV(((rate_acc_pct-0.2)/100/12), anni_accumulo*12, -pac_mensile, -capitale_iniziale)=0, 0, B50/FV(((rate_acc_pct-0.2)/100/12), anni_accumulo*12, -pac_mensile, -capitale_iniziale))</f>
        <v/>
      </c>
    </row>
    <row r="51">
      <c r="A51" s="18" t="n">
        <v>47</v>
      </c>
      <c r="B51" s="19">
        <f>IF(47&gt;anni_rendita, 0, MAX(0, FV(((rate_dec_pct-0.2)/100/12), 47*12, (-PMT(((rate_dec_pct-0.2)/100/12), anni_rendita*12, -FV(((rate_acc_pct-0.2)/100/12), anni_accumulo*12, -pac_mensile, -capitale_iniziale), 0)), -FV(((rate_acc_pct-0.2)/100/12), anni_accumulo*12, -pac_mensile, -capitale_iniziale))))</f>
        <v/>
      </c>
      <c r="C51" s="20">
        <f>MIN(47,anni_rendita) * 12 * (-PMT(((rate_dec_pct-0.2)/100/12), anni_rendita*12, -FV(((rate_acc_pct-0.2)/100/12), anni_accumulo*12, -pac_mensile, -capitale_iniziale), 0))</f>
        <v/>
      </c>
      <c r="D51" s="21">
        <f>IF(FV(((rate_acc_pct-0.2)/100/12), anni_accumulo*12, -pac_mensile, -capitale_iniziale)=0, 0, B51/FV(((rate_acc_pct-0.2)/100/12), anni_accumulo*12, -pac_mensile, -capitale_iniziale))</f>
        <v/>
      </c>
    </row>
    <row r="52">
      <c r="A52" s="22" t="n">
        <v>48</v>
      </c>
      <c r="B52" s="23">
        <f>IF(48&gt;anni_rendita, 0, MAX(0, FV(((rate_dec_pct-0.2)/100/12), 48*12, (-PMT(((rate_dec_pct-0.2)/100/12), anni_rendita*12, -FV(((rate_acc_pct-0.2)/100/12), anni_accumulo*12, -pac_mensile, -capitale_iniziale), 0)), -FV(((rate_acc_pct-0.2)/100/12), anni_accumulo*12, -pac_mensile, -capitale_iniziale))))</f>
        <v/>
      </c>
      <c r="C52" s="24">
        <f>MIN(48,anni_rendita) * 12 * (-PMT(((rate_dec_pct-0.2)/100/12), anni_rendita*12, -FV(((rate_acc_pct-0.2)/100/12), anni_accumulo*12, -pac_mensile, -capitale_iniziale), 0))</f>
        <v/>
      </c>
      <c r="D52" s="25">
        <f>IF(FV(((rate_acc_pct-0.2)/100/12), anni_accumulo*12, -pac_mensile, -capitale_iniziale)=0, 0, B52/FV(((rate_acc_pct-0.2)/100/12), anni_accumulo*12, -pac_mensile, -capitale_iniziale))</f>
        <v/>
      </c>
    </row>
    <row r="53">
      <c r="A53" s="18" t="n">
        <v>49</v>
      </c>
      <c r="B53" s="19">
        <f>IF(49&gt;anni_rendita, 0, MAX(0, FV(((rate_dec_pct-0.2)/100/12), 49*12, (-PMT(((rate_dec_pct-0.2)/100/12), anni_rendita*12, -FV(((rate_acc_pct-0.2)/100/12), anni_accumulo*12, -pac_mensile, -capitale_iniziale), 0)), -FV(((rate_acc_pct-0.2)/100/12), anni_accumulo*12, -pac_mensile, -capitale_iniziale))))</f>
        <v/>
      </c>
      <c r="C53" s="20">
        <f>MIN(49,anni_rendita) * 12 * (-PMT(((rate_dec_pct-0.2)/100/12), anni_rendita*12, -FV(((rate_acc_pct-0.2)/100/12), anni_accumulo*12, -pac_mensile, -capitale_iniziale), 0))</f>
        <v/>
      </c>
      <c r="D53" s="21">
        <f>IF(FV(((rate_acc_pct-0.2)/100/12), anni_accumulo*12, -pac_mensile, -capitale_iniziale)=0, 0, B53/FV(((rate_acc_pct-0.2)/100/12), anni_accumulo*12, -pac_mensile, -capitale_iniziale))</f>
        <v/>
      </c>
    </row>
    <row r="54">
      <c r="A54" s="22" t="n">
        <v>50</v>
      </c>
      <c r="B54" s="23">
        <f>IF(50&gt;anni_rendita, 0, MAX(0, FV(((rate_dec_pct-0.2)/100/12), 50*12, (-PMT(((rate_dec_pct-0.2)/100/12), anni_rendita*12, -FV(((rate_acc_pct-0.2)/100/12), anni_accumulo*12, -pac_mensile, -capitale_iniziale), 0)), -FV(((rate_acc_pct-0.2)/100/12), anni_accumulo*12, -pac_mensile, -capitale_iniziale))))</f>
        <v/>
      </c>
      <c r="C54" s="24">
        <f>MIN(50,anni_rendita) * 12 * (-PMT(((rate_dec_pct-0.2)/100/12), anni_rendita*12, -FV(((rate_acc_pct-0.2)/100/12), anni_accumulo*12, -pac_mensile, -capitale_iniziale), 0))</f>
        <v/>
      </c>
      <c r="D54" s="25">
        <f>IF(FV(((rate_acc_pct-0.2)/100/12), anni_accumulo*12, -pac_mensile, -capitale_iniziale)=0, 0, B54/FV(((rate_acc_pct-0.2)/100/12), anni_accumulo*12, -pac_mensile, -capitale_iniziale))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47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 ht="42" customHeight="1">
      <c r="A1" s="1" t="inlineStr">
        <is>
          <t>📊  Risultato — la tua rendita mensile netta</t>
        </is>
      </c>
    </row>
    <row r="2" ht="16" customHeight="1"/>
    <row r="3">
      <c r="A3" s="26" t="inlineStr">
        <is>
          <t>Rendita mensile NETTA estraibile (post 26% su plusvalenza, bollo incluso)</t>
        </is>
      </c>
    </row>
    <row r="4" ht="28" customHeight="1">
      <c r="A4" s="27">
        <f>((-PMT(((rate_dec_pct-0.2)/100/12), anni_rendita*12, -FV(((rate_acc_pct-0.2)/100/12), anni_accumulo*12, -pac_mensile, -capitale_iniziale), 0)) * (1 - cap_gain_tax * MAX(0, (FV(((rate_acc_pct-0.2)/100/12), anni_accumulo*12, -pac_mensile, -capitale_iniziale) - (capitale_iniziale + pac_mensile * anni_accumulo * 12))/FV(((rate_acc_pct-0.2)/100/12), anni_accumulo*12, -pac_mensile, -capitale_iniziale))))</f>
        <v/>
      </c>
    </row>
    <row r="5" ht="28" customHeight="1"/>
    <row r="6" ht="28" customHeight="1"/>
    <row r="7" ht="12" customHeight="1"/>
    <row r="8">
      <c r="A8" s="28" t="inlineStr">
        <is>
          <t>Patrimonio a inizio fase di rendita</t>
        </is>
      </c>
    </row>
    <row r="9" ht="32" customHeight="1">
      <c r="A9" s="29">
        <f>FV(((rate_acc_pct-0.2)/100/12), anni_accumulo*12, -pac_mensile, -capitale_iniziale)</f>
        <v/>
      </c>
    </row>
    <row r="10" ht="16" customHeight="1"/>
    <row r="11" ht="30" customHeight="1">
      <c r="A11" s="5" t="inlineStr">
        <is>
          <t>🧾  Riepilogo accumulo + rendita</t>
        </is>
      </c>
    </row>
    <row r="12" ht="26" customHeight="1">
      <c r="A12" s="30" t="inlineStr">
        <is>
          <t>Versato totale (capitale + PAC×mesi)</t>
        </is>
      </c>
      <c r="B12" s="31" t="n"/>
      <c r="C12" s="31" t="n"/>
      <c r="D12" s="31" t="n"/>
      <c r="E12" s="32">
        <f>(capitale_iniziale + pac_mensile * anni_accumulo * 12)</f>
        <v/>
      </c>
      <c r="F12" s="31" t="n"/>
    </row>
    <row r="13" ht="26" customHeight="1">
      <c r="A13" s="30" t="inlineStr">
        <is>
          <t>Patrimonio a inizio rendita (lordo)</t>
        </is>
      </c>
      <c r="B13" s="31" t="n"/>
      <c r="C13" s="31" t="n"/>
      <c r="D13" s="31" t="n"/>
      <c r="E13" s="32">
        <f>FV(((rate_acc_pct-0.2)/100/12), anni_accumulo*12, -pac_mensile, -capitale_iniziale)</f>
        <v/>
      </c>
      <c r="F13" s="31" t="n"/>
    </row>
    <row r="14" ht="26" customHeight="1">
      <c r="A14" s="30" t="inlineStr">
        <is>
          <t>Quota plusvalenza nel patrimonio</t>
        </is>
      </c>
      <c r="B14" s="31" t="n"/>
      <c r="C14" s="31" t="n"/>
      <c r="D14" s="31" t="n"/>
      <c r="E14" s="33">
        <f>MAX(0, (FV(((rate_acc_pct-0.2)/100/12), anni_accumulo*12, -pac_mensile, -capitale_iniziale) - (capitale_iniziale + pac_mensile * anni_accumulo * 12))/FV(((rate_acc_pct-0.2)/100/12), anni_accumulo*12, -pac_mensile, -capitale_iniziale))</f>
        <v/>
      </c>
      <c r="F14" s="31" t="n"/>
    </row>
    <row r="15" ht="26" customHeight="1">
      <c r="A15" s="30" t="inlineStr">
        <is>
          <t>Rendita LORDA mensile (PMT)</t>
        </is>
      </c>
      <c r="B15" s="31" t="n"/>
      <c r="C15" s="31" t="n"/>
      <c r="D15" s="31" t="n"/>
      <c r="E15" s="32">
        <f>(-PMT(((rate_dec_pct-0.2)/100/12), anni_rendita*12, -FV(((rate_acc_pct-0.2)/100/12), anni_accumulo*12, -pac_mensile, -capitale_iniziale), 0))</f>
        <v/>
      </c>
      <c r="F15" s="31" t="n"/>
    </row>
    <row r="16" ht="26" customHeight="1">
      <c r="A16" s="30" t="inlineStr">
        <is>
          <t>Rendita NETTA mensile</t>
        </is>
      </c>
      <c r="B16" s="31" t="n"/>
      <c r="C16" s="31" t="n"/>
      <c r="D16" s="31" t="n"/>
      <c r="E16" s="32">
        <f>((-PMT(((rate_dec_pct-0.2)/100/12), anni_rendita*12, -FV(((rate_acc_pct-0.2)/100/12), anni_accumulo*12, -pac_mensile, -capitale_iniziale), 0)) * (1 - cap_gain_tax * MAX(0, (FV(((rate_acc_pct-0.2)/100/12), anni_accumulo*12, -pac_mensile, -capitale_iniziale) - (capitale_iniziale + pac_mensile * anni_accumulo * 12))/FV(((rate_acc_pct-0.2)/100/12), anni_accumulo*12, -pac_mensile, -capitale_iniziale))))</f>
        <v/>
      </c>
      <c r="F16" s="31" t="n"/>
    </row>
    <row r="17" ht="26" customHeight="1">
      <c r="A17" s="30" t="inlineStr">
        <is>
          <t>Rendita NETTA annuale</t>
        </is>
      </c>
      <c r="B17" s="31" t="n"/>
      <c r="C17" s="31" t="n"/>
      <c r="D17" s="31" t="n"/>
      <c r="E17" s="32">
        <f>((-PMT(((rate_dec_pct-0.2)/100/12), anni_rendita*12, -FV(((rate_acc_pct-0.2)/100/12), anni_accumulo*12, -pac_mensile, -capitale_iniziale), 0)) * (1 - cap_gain_tax * MAX(0, (FV(((rate_acc_pct-0.2)/100/12), anni_accumulo*12, -pac_mensile, -capitale_iniziale) - (capitale_iniziale + pac_mensile * anni_accumulo * 12))/FV(((rate_acc_pct-0.2)/100/12), anni_accumulo*12, -pac_mensile, -capitale_iniziale))))*12</f>
        <v/>
      </c>
      <c r="F17" s="31" t="n"/>
    </row>
    <row r="18" ht="26" customHeight="1">
      <c r="A18" s="30" t="inlineStr">
        <is>
          <t>Totale estratto in anni_rendita</t>
        </is>
      </c>
      <c r="B18" s="31" t="n"/>
      <c r="C18" s="31" t="n"/>
      <c r="D18" s="31" t="n"/>
      <c r="E18" s="32">
        <f>((-PMT(((rate_dec_pct-0.2)/100/12), anni_rendita*12, -FV(((rate_acc_pct-0.2)/100/12), anni_accumulo*12, -pac_mensile, -capitale_iniziale), 0)) * (1 - cap_gain_tax * MAX(0, (FV(((rate_acc_pct-0.2)/100/12), anni_accumulo*12, -pac_mensile, -capitale_iniziale) - (capitale_iniziale + pac_mensile * anni_accumulo * 12))/FV(((rate_acc_pct-0.2)/100/12), anni_accumulo*12, -pac_mensile, -capitale_iniziale))))*anni_rendita*12</f>
        <v/>
      </c>
      <c r="F18" s="31" t="n"/>
    </row>
    <row r="19" ht="26" customHeight="1">
      <c r="A19" s="30" t="inlineStr">
        <is>
          <t>Confronto: divisione piatta NETTA mensile</t>
        </is>
      </c>
      <c r="B19" s="31" t="n"/>
      <c r="C19" s="31" t="n"/>
      <c r="D19" s="31" t="n"/>
      <c r="E19" s="32">
        <f>((FV(((rate_acc_pct-0.2)/100/12), anni_accumulo*12, -pac_mensile, -capitale_iniziale)/(anni_rendita*12)) * (1 - cap_gain_tax * MAX(0, (FV(((rate_acc_pct-0.2)/100/12), anni_accumulo*12, -pac_mensile, -capitale_iniziale) - (capitale_iniziale + pac_mensile * anni_accumulo * 12))/FV(((rate_acc_pct-0.2)/100/12), anni_accumulo*12, -pac_mensile, -capitale_iniziale))))</f>
        <v/>
      </c>
      <c r="F19" s="31" t="n"/>
    </row>
    <row r="20" ht="26" customHeight="1">
      <c r="A20" s="30" t="inlineStr">
        <is>
          <t>Quanto in più con rendimento residuo</t>
        </is>
      </c>
      <c r="B20" s="31" t="n"/>
      <c r="C20" s="31" t="n"/>
      <c r="D20" s="31" t="n"/>
      <c r="E20" s="34">
        <f>((-PMT(((rate_dec_pct-0.2)/100/12), anni_rendita*12, -FV(((rate_acc_pct-0.2)/100/12), anni_accumulo*12, -pac_mensile, -capitale_iniziale), 0)) * (1 - cap_gain_tax * MAX(0, (FV(((rate_acc_pct-0.2)/100/12), anni_accumulo*12, -pac_mensile, -capitale_iniziale) - (capitale_iniziale + pac_mensile * anni_accumulo * 12))/FV(((rate_acc_pct-0.2)/100/12), anni_accumulo*12, -pac_mensile, -capitale_iniziale))))-((FV(((rate_acc_pct-0.2)/100/12), anni_accumulo*12, -pac_mensile, -capitale_iniziale)/(anni_rendita*12)) * (1 - cap_gain_tax * MAX(0, (FV(((rate_acc_pct-0.2)/100/12), anni_accumulo*12, -pac_mensile, -capitale_iniziale) - (capitale_iniziale + pac_mensile * anni_accumulo * 12))/FV(((rate_acc_pct-0.2)/100/12), anni_accumulo*12, -pac_mensile, -capitale_iniziale))))</f>
        <v/>
      </c>
      <c r="F20" s="31" t="n"/>
    </row>
    <row r="22" ht="16" customHeight="1"/>
    <row r="23" ht="28" customHeight="1">
      <c r="A23" s="5" t="inlineStr">
        <is>
          <t>📈  Capitale residuo durante il decumulo</t>
        </is>
      </c>
    </row>
    <row r="47" ht="28" customHeight="1">
      <c r="A47" s="9" t="inlineStr">
        <is>
          <t>🌐  didiertommasi.com    📩  Newsletter settimanale    📊  Materiale educativo  ·  Non consulenza personalizzata</t>
        </is>
      </c>
    </row>
  </sheetData>
  <mergeCells count="26">
    <mergeCell ref="E12:F12"/>
    <mergeCell ref="A17:D17"/>
    <mergeCell ref="A20:D20"/>
    <mergeCell ref="E14:F14"/>
    <mergeCell ref="A19:D19"/>
    <mergeCell ref="A3:F3"/>
    <mergeCell ref="E17:F17"/>
    <mergeCell ref="A13:D13"/>
    <mergeCell ref="E20:F20"/>
    <mergeCell ref="A47:F47"/>
    <mergeCell ref="E19:F19"/>
    <mergeCell ref="A23:F23"/>
    <mergeCell ref="A8:F8"/>
    <mergeCell ref="A15:D15"/>
    <mergeCell ref="E13:F13"/>
    <mergeCell ref="E15:F15"/>
    <mergeCell ref="A4:F6"/>
    <mergeCell ref="A9:F9"/>
    <mergeCell ref="A16:D16"/>
    <mergeCell ref="A11:F11"/>
    <mergeCell ref="A18:D18"/>
    <mergeCell ref="E16:F16"/>
    <mergeCell ref="A12:D12"/>
    <mergeCell ref="A1:F1"/>
    <mergeCell ref="E18:F18"/>
    <mergeCell ref="A14:D14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2026-04-28T20:40:04Z</dcterms:created>
  <dcterms:modified xsi:type="dcterms:W3CDTF">2026-04-28T20:40:04Z</dcterms:modified>
</cp:coreProperties>
</file>